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ycja.kedzia\Desktop\2024\CENNIK STYCZEŃ 2024 r\CENNIK\DECYZJA CENNIK\"/>
    </mc:Choice>
  </mc:AlternateContent>
  <xr:revisionPtr revIDLastSave="0" documentId="13_ncr:1_{9B4863E1-7F4D-42FB-BD50-5ECF472A41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ał. 1a" sheetId="2" r:id="rId1"/>
    <sheet name="Zał. 1b" sheetId="3" r:id="rId2"/>
    <sheet name="Zał. 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F24" i="3"/>
  <c r="D24" i="3"/>
  <c r="M15" i="4"/>
  <c r="M14" i="4"/>
  <c r="K15" i="4"/>
  <c r="K14" i="4"/>
  <c r="W22" i="4"/>
  <c r="U22" i="4"/>
  <c r="S22" i="4"/>
  <c r="Q22" i="4"/>
  <c r="O22" i="4"/>
  <c r="M22" i="4"/>
  <c r="K22" i="4"/>
  <c r="W21" i="4"/>
  <c r="U21" i="4"/>
  <c r="S21" i="4"/>
  <c r="Q21" i="4"/>
  <c r="O21" i="4"/>
  <c r="M21" i="4"/>
  <c r="K21" i="4"/>
  <c r="I22" i="4"/>
  <c r="I21" i="4"/>
  <c r="L39" i="2"/>
  <c r="J39" i="2"/>
  <c r="D22" i="2"/>
  <c r="K21" i="3"/>
  <c r="K20" i="3"/>
  <c r="K19" i="3"/>
  <c r="K18" i="3"/>
  <c r="K17" i="3"/>
  <c r="K15" i="3"/>
  <c r="K14" i="3"/>
  <c r="K13" i="3"/>
  <c r="K12" i="3"/>
  <c r="K11" i="3"/>
  <c r="I21" i="3"/>
  <c r="I20" i="3"/>
  <c r="I19" i="3"/>
  <c r="I18" i="3"/>
  <c r="I17" i="3"/>
  <c r="I15" i="3"/>
  <c r="I14" i="3"/>
  <c r="I13" i="3"/>
  <c r="I12" i="3"/>
  <c r="I11" i="3"/>
  <c r="G21" i="3"/>
  <c r="G20" i="3"/>
  <c r="G19" i="3"/>
  <c r="G18" i="3"/>
  <c r="G17" i="3"/>
  <c r="G15" i="3"/>
  <c r="G14" i="3"/>
  <c r="G13" i="3"/>
  <c r="G12" i="3"/>
  <c r="G11" i="3"/>
  <c r="G21" i="2" l="1"/>
  <c r="G20" i="2"/>
  <c r="G19" i="2"/>
  <c r="H19" i="2" s="1"/>
  <c r="G18" i="2"/>
  <c r="H18" i="2" s="1"/>
  <c r="G17" i="2"/>
  <c r="G15" i="2"/>
  <c r="G14" i="2"/>
  <c r="H14" i="2" s="1"/>
  <c r="G13" i="2"/>
  <c r="H13" i="2" s="1"/>
  <c r="G12" i="2"/>
  <c r="G11" i="2"/>
  <c r="H11" i="2" s="1"/>
  <c r="E15" i="2"/>
  <c r="F15" i="2" s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11" i="3"/>
  <c r="F16" i="3"/>
  <c r="F22" i="3"/>
  <c r="F23" i="3"/>
  <c r="D16" i="3"/>
  <c r="D22" i="3"/>
  <c r="D23" i="3"/>
  <c r="Z16" i="2"/>
  <c r="X16" i="2"/>
  <c r="V16" i="2"/>
  <c r="T16" i="2"/>
  <c r="R16" i="2"/>
  <c r="P35" i="2"/>
  <c r="P36" i="2"/>
  <c r="P37" i="2"/>
  <c r="P38" i="2"/>
  <c r="P39" i="2"/>
  <c r="P34" i="2"/>
  <c r="P16" i="2"/>
  <c r="F34" i="2"/>
  <c r="F35" i="2"/>
  <c r="F36" i="2"/>
  <c r="F37" i="2"/>
  <c r="F38" i="2"/>
  <c r="F39" i="2"/>
  <c r="F33" i="2"/>
  <c r="H34" i="2"/>
  <c r="H35" i="2"/>
  <c r="H36" i="2"/>
  <c r="H37" i="2"/>
  <c r="H38" i="2"/>
  <c r="H39" i="2"/>
  <c r="H12" i="2"/>
  <c r="H15" i="2"/>
  <c r="H16" i="2"/>
  <c r="H17" i="2"/>
  <c r="H20" i="2"/>
  <c r="H21" i="2"/>
  <c r="H33" i="2"/>
  <c r="F16" i="2"/>
  <c r="D16" i="2"/>
  <c r="D27" i="2"/>
  <c r="D33" i="2"/>
  <c r="D34" i="2"/>
  <c r="D35" i="2"/>
  <c r="D36" i="2"/>
  <c r="D37" i="2"/>
  <c r="D38" i="2"/>
  <c r="D39" i="2"/>
  <c r="E21" i="3" l="1"/>
  <c r="F21" i="3" s="1"/>
  <c r="E20" i="3"/>
  <c r="F20" i="3" s="1"/>
  <c r="E19" i="3"/>
  <c r="F19" i="3" s="1"/>
  <c r="E18" i="3"/>
  <c r="F18" i="3" s="1"/>
  <c r="E17" i="3"/>
  <c r="F17" i="3" s="1"/>
  <c r="E15" i="3"/>
  <c r="F15" i="3" s="1"/>
  <c r="E14" i="3"/>
  <c r="F14" i="3" s="1"/>
  <c r="E13" i="3"/>
  <c r="F13" i="3" s="1"/>
  <c r="E12" i="3"/>
  <c r="F12" i="3" s="1"/>
  <c r="E11" i="3"/>
  <c r="F11" i="3" s="1"/>
  <c r="C21" i="3"/>
  <c r="D21" i="3" s="1"/>
  <c r="C20" i="3"/>
  <c r="D20" i="3" s="1"/>
  <c r="C19" i="3"/>
  <c r="D19" i="3" s="1"/>
  <c r="C18" i="3"/>
  <c r="D18" i="3" s="1"/>
  <c r="C17" i="3"/>
  <c r="D17" i="3" s="1"/>
  <c r="C15" i="3"/>
  <c r="D15" i="3" s="1"/>
  <c r="C14" i="3"/>
  <c r="D14" i="3" s="1"/>
  <c r="C12" i="3"/>
  <c r="D12" i="3" s="1"/>
  <c r="C11" i="3"/>
  <c r="D11" i="3" s="1"/>
  <c r="Y21" i="2"/>
  <c r="Z21" i="2" s="1"/>
  <c r="Y20" i="2"/>
  <c r="Z20" i="2" s="1"/>
  <c r="Y19" i="2"/>
  <c r="Z19" i="2" s="1"/>
  <c r="Y18" i="2"/>
  <c r="Z18" i="2" s="1"/>
  <c r="Y17" i="2"/>
  <c r="Z17" i="2" s="1"/>
  <c r="Y15" i="2"/>
  <c r="Z15" i="2" s="1"/>
  <c r="Y14" i="2"/>
  <c r="Z14" i="2" s="1"/>
  <c r="Y13" i="2"/>
  <c r="Z13" i="2" s="1"/>
  <c r="Y12" i="2"/>
  <c r="Z12" i="2" s="1"/>
  <c r="Y11" i="2"/>
  <c r="Z11" i="2" s="1"/>
  <c r="W21" i="2"/>
  <c r="X21" i="2" s="1"/>
  <c r="W20" i="2"/>
  <c r="X20" i="2" s="1"/>
  <c r="W19" i="2"/>
  <c r="X19" i="2" s="1"/>
  <c r="W18" i="2"/>
  <c r="X18" i="2" s="1"/>
  <c r="W17" i="2"/>
  <c r="X17" i="2" s="1"/>
  <c r="W15" i="2"/>
  <c r="X15" i="2" s="1"/>
  <c r="W14" i="2"/>
  <c r="X14" i="2" s="1"/>
  <c r="W13" i="2"/>
  <c r="X13" i="2" s="1"/>
  <c r="W12" i="2"/>
  <c r="X12" i="2" s="1"/>
  <c r="W11" i="2"/>
  <c r="X11" i="2" s="1"/>
  <c r="U21" i="2"/>
  <c r="V21" i="2" s="1"/>
  <c r="U20" i="2"/>
  <c r="V20" i="2" s="1"/>
  <c r="U19" i="2"/>
  <c r="V19" i="2" s="1"/>
  <c r="U18" i="2"/>
  <c r="V18" i="2" s="1"/>
  <c r="U17" i="2"/>
  <c r="V17" i="2" s="1"/>
  <c r="U15" i="2"/>
  <c r="V15" i="2" s="1"/>
  <c r="U14" i="2"/>
  <c r="V14" i="2" s="1"/>
  <c r="U13" i="2"/>
  <c r="V13" i="2" s="1"/>
  <c r="U12" i="2"/>
  <c r="V12" i="2" s="1"/>
  <c r="U11" i="2"/>
  <c r="V11" i="2" s="1"/>
  <c r="S21" i="2"/>
  <c r="T21" i="2" s="1"/>
  <c r="S20" i="2"/>
  <c r="T20" i="2" s="1"/>
  <c r="S19" i="2"/>
  <c r="T19" i="2" s="1"/>
  <c r="S18" i="2"/>
  <c r="T18" i="2" s="1"/>
  <c r="S17" i="2"/>
  <c r="T17" i="2" s="1"/>
  <c r="S15" i="2"/>
  <c r="T15" i="2" s="1"/>
  <c r="S14" i="2"/>
  <c r="T14" i="2" s="1"/>
  <c r="S13" i="2"/>
  <c r="T13" i="2" s="1"/>
  <c r="S12" i="2"/>
  <c r="T12" i="2" s="1"/>
  <c r="S11" i="2"/>
  <c r="T11" i="2" s="1"/>
  <c r="Q21" i="2"/>
  <c r="R21" i="2" s="1"/>
  <c r="Q20" i="2"/>
  <c r="R20" i="2" s="1"/>
  <c r="Q19" i="2"/>
  <c r="R19" i="2" s="1"/>
  <c r="Q18" i="2"/>
  <c r="R18" i="2" s="1"/>
  <c r="Q17" i="2"/>
  <c r="R17" i="2" s="1"/>
  <c r="Q15" i="2"/>
  <c r="R15" i="2" s="1"/>
  <c r="Q14" i="2"/>
  <c r="R14" i="2" s="1"/>
  <c r="Q12" i="2"/>
  <c r="R12" i="2" s="1"/>
  <c r="Q11" i="2"/>
  <c r="R11" i="2" s="1"/>
  <c r="O21" i="2"/>
  <c r="P21" i="2" s="1"/>
  <c r="O20" i="2"/>
  <c r="P20" i="2" s="1"/>
  <c r="O19" i="2"/>
  <c r="P19" i="2" s="1"/>
  <c r="O18" i="2"/>
  <c r="P18" i="2" s="1"/>
  <c r="O17" i="2"/>
  <c r="P17" i="2" s="1"/>
  <c r="O15" i="2"/>
  <c r="P15" i="2" s="1"/>
  <c r="O14" i="2"/>
  <c r="P14" i="2" s="1"/>
  <c r="O12" i="2"/>
  <c r="P12" i="2" s="1"/>
  <c r="O11" i="2"/>
  <c r="P11" i="2" s="1"/>
  <c r="E21" i="2"/>
  <c r="F21" i="2" s="1"/>
  <c r="E20" i="2"/>
  <c r="F20" i="2" s="1"/>
  <c r="E19" i="2"/>
  <c r="F19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C32" i="2"/>
  <c r="D32" i="2" s="1"/>
  <c r="C31" i="2"/>
  <c r="D31" i="2" s="1"/>
  <c r="C30" i="2"/>
  <c r="D30" i="2" s="1"/>
  <c r="C29" i="2"/>
  <c r="D29" i="2" s="1"/>
  <c r="C28" i="2"/>
  <c r="D28" i="2" s="1"/>
  <c r="C26" i="2"/>
  <c r="D26" i="2" s="1"/>
  <c r="C25" i="2"/>
  <c r="D25" i="2" s="1"/>
  <c r="C24" i="2"/>
  <c r="D24" i="2" s="1"/>
  <c r="C23" i="2"/>
  <c r="D23" i="2" s="1"/>
  <c r="C21" i="2"/>
  <c r="D21" i="2" s="1"/>
  <c r="C20" i="2"/>
  <c r="D20" i="2" s="1"/>
  <c r="C19" i="2"/>
  <c r="D19" i="2" s="1"/>
  <c r="C18" i="2"/>
  <c r="D18" i="2" s="1"/>
  <c r="C17" i="2"/>
  <c r="D17" i="2" s="1"/>
  <c r="C15" i="2"/>
  <c r="D15" i="2" s="1"/>
  <c r="C14" i="2"/>
  <c r="D14" i="2" s="1"/>
  <c r="C13" i="2"/>
  <c r="D13" i="2" s="1"/>
  <c r="C11" i="2"/>
  <c r="D11" i="2" s="1"/>
  <c r="C12" i="2"/>
  <c r="D12" i="2" s="1"/>
  <c r="G22" i="4" l="1"/>
  <c r="G21" i="4"/>
  <c r="E22" i="4"/>
  <c r="E21" i="4"/>
  <c r="Y15" i="4"/>
  <c r="Y14" i="4"/>
  <c r="W15" i="4"/>
  <c r="W14" i="4"/>
  <c r="U15" i="4"/>
  <c r="U14" i="4"/>
  <c r="S15" i="4"/>
  <c r="S14" i="4"/>
  <c r="O15" i="4"/>
  <c r="O14" i="4"/>
  <c r="AA14" i="4"/>
  <c r="AA15" i="4"/>
  <c r="Q14" i="4"/>
  <c r="Q15" i="4"/>
  <c r="I14" i="4"/>
  <c r="I15" i="4"/>
  <c r="G14" i="4"/>
  <c r="G15" i="4"/>
  <c r="E14" i="4"/>
  <c r="E15" i="4"/>
  <c r="V24" i="3"/>
  <c r="T24" i="3"/>
  <c r="R24" i="3"/>
  <c r="P24" i="3"/>
  <c r="N24" i="3"/>
  <c r="L24" i="3"/>
  <c r="Z39" i="2"/>
  <c r="X39" i="2"/>
  <c r="V39" i="2"/>
  <c r="T39" i="2"/>
  <c r="R39" i="2"/>
  <c r="N39" i="2"/>
  <c r="AA13" i="4" l="1"/>
  <c r="AA12" i="4"/>
  <c r="AA11" i="4"/>
  <c r="Q13" i="4"/>
  <c r="Q12" i="4"/>
  <c r="Q11" i="4"/>
  <c r="I13" i="4"/>
  <c r="I12" i="4"/>
  <c r="I11" i="4"/>
  <c r="G13" i="4"/>
  <c r="G12" i="4"/>
  <c r="G11" i="4"/>
  <c r="E12" i="4"/>
  <c r="E13" i="4"/>
  <c r="E11" i="4"/>
  <c r="V23" i="3"/>
  <c r="V22" i="3"/>
  <c r="T23" i="3"/>
  <c r="T22" i="3"/>
  <c r="R23" i="3"/>
  <c r="R22" i="3"/>
  <c r="P23" i="3"/>
  <c r="P22" i="3"/>
  <c r="N23" i="3"/>
  <c r="N22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Z38" i="2"/>
  <c r="Z37" i="2"/>
  <c r="Z36" i="2"/>
  <c r="Z35" i="2"/>
  <c r="Z34" i="2"/>
  <c r="X35" i="2"/>
  <c r="X34" i="2"/>
  <c r="V35" i="2"/>
  <c r="V34" i="2"/>
  <c r="T35" i="2"/>
  <c r="T34" i="2"/>
  <c r="R35" i="2"/>
  <c r="R34" i="2"/>
</calcChain>
</file>

<file path=xl/sharedStrings.xml><?xml version="1.0" encoding="utf-8"?>
<sst xmlns="http://schemas.openxmlformats.org/spreadsheetml/2006/main" count="285" uniqueCount="100">
  <si>
    <t>Drewno iglaste (I)</t>
  </si>
  <si>
    <t xml:space="preserve">SO </t>
  </si>
  <si>
    <t>MD</t>
  </si>
  <si>
    <t>SW</t>
  </si>
  <si>
    <t>Sortyment</t>
  </si>
  <si>
    <t>Drewno liściaste (L)</t>
  </si>
  <si>
    <t>Symbol rodzaju/gatunku</t>
  </si>
  <si>
    <t>DB</t>
  </si>
  <si>
    <t>DBC</t>
  </si>
  <si>
    <t>netto</t>
  </si>
  <si>
    <t>brutto</t>
  </si>
  <si>
    <t>BRZ</t>
  </si>
  <si>
    <t>OL</t>
  </si>
  <si>
    <t>JS</t>
  </si>
  <si>
    <t>AK</t>
  </si>
  <si>
    <t>BK</t>
  </si>
  <si>
    <t xml:space="preserve">JW </t>
  </si>
  <si>
    <t>WZ</t>
  </si>
  <si>
    <t>OS</t>
  </si>
  <si>
    <t>TP</t>
  </si>
  <si>
    <t>LP</t>
  </si>
  <si>
    <t>WB</t>
  </si>
  <si>
    <t>GB</t>
  </si>
  <si>
    <t>KL</t>
  </si>
  <si>
    <t>WA0 2</t>
  </si>
  <si>
    <t>WA0 3</t>
  </si>
  <si>
    <t>WB0 1</t>
  </si>
  <si>
    <t>WB0 2</t>
  </si>
  <si>
    <t>WB0 3</t>
  </si>
  <si>
    <t>WC0 1</t>
  </si>
  <si>
    <t>WC0 2</t>
  </si>
  <si>
    <t>WC0 3</t>
  </si>
  <si>
    <t>WD 1</t>
  </si>
  <si>
    <t>WD 2</t>
  </si>
  <si>
    <t>WD 3</t>
  </si>
  <si>
    <t>WAK 2</t>
  </si>
  <si>
    <t>WAK 3</t>
  </si>
  <si>
    <t>WBK 2</t>
  </si>
  <si>
    <t>WBK 3</t>
  </si>
  <si>
    <t>WCK 1</t>
  </si>
  <si>
    <t>WCK 2</t>
  </si>
  <si>
    <t>WCK 3</t>
  </si>
  <si>
    <t>WDK 1</t>
  </si>
  <si>
    <t>WDK 2</t>
  </si>
  <si>
    <t>WDK 3</t>
  </si>
  <si>
    <t>S10</t>
  </si>
  <si>
    <t>S2A</t>
  </si>
  <si>
    <t>S2B K</t>
  </si>
  <si>
    <t>S3B 1</t>
  </si>
  <si>
    <t>S3B 2</t>
  </si>
  <si>
    <t>S3B 3</t>
  </si>
  <si>
    <t>S4</t>
  </si>
  <si>
    <t>Grupa</t>
  </si>
  <si>
    <t>Lp.</t>
  </si>
  <si>
    <t>1.</t>
  </si>
  <si>
    <t>2.</t>
  </si>
  <si>
    <t>6.</t>
  </si>
  <si>
    <t>5.</t>
  </si>
  <si>
    <t>3.</t>
  </si>
  <si>
    <t>8.</t>
  </si>
  <si>
    <t>4.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</si>
  <si>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</si>
  <si>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</si>
  <si>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</si>
  <si>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</si>
  <si>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</si>
  <si>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</si>
  <si>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</si>
  <si>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</si>
  <si>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</si>
  <si>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</si>
  <si>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</si>
  <si>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</si>
  <si>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</si>
  <si>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</si>
  <si>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</si>
  <si>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</si>
  <si>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</si>
  <si>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</si>
  <si>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</si>
  <si>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</si>
  <si>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</si>
  <si>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Grupa drewna</t>
  </si>
  <si>
    <t>Nadleśniczego Nadleśnictwa Turek</t>
  </si>
  <si>
    <t>M2</t>
  </si>
  <si>
    <t xml:space="preserve"> </t>
  </si>
  <si>
    <t>Niniejszy cennik dla sprzedaży detalicznej nie stanowi oferty w rozumieniu przepisów Kodeksu cywilnego.</t>
  </si>
  <si>
    <t>Cena detaliczna jest ceną brutto i zawiera podatek VAT w wysokości 23%.</t>
  </si>
  <si>
    <t>pozostałe iglaste</t>
  </si>
  <si>
    <t>pozostałe liściaste</t>
  </si>
  <si>
    <t>WCK X</t>
  </si>
  <si>
    <t>JD</t>
  </si>
  <si>
    <t>DG</t>
  </si>
  <si>
    <t>Podpisane przez
Nadleśniczego 
Nadleśnictwa Turek</t>
  </si>
  <si>
    <t>Załącznik nr 1a do Decyzji nr 3/2024</t>
  </si>
  <si>
    <t>z dnia 16.01.2024 roku</t>
  </si>
  <si>
    <t>Załącznik nr 2 do Decyzji nr 4/2024</t>
  </si>
  <si>
    <t>Załącznik nr 1b do Decyzji nr 4/2024</t>
  </si>
  <si>
    <t>Ceny sprzedaży za 1 m3 surowca drzewnego loco las po zrywce dla odbiorców detalicznych - obowiązują od dnia 16.01.2024 roku do odwołania</t>
  </si>
  <si>
    <t>Ceny sprzedaży za 1 m3 surowca drzewnego loco las pozyskanego samowyrobem dla odbiorców detalicznych - obowiązują od dnia 16.01.2024 roku do odwołania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</si>
</sst>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2" fontId="0" fillId="0" borderId="0" xfId="0" applyNumberFormat="1"/>
    <xf numFmtId="0" fontId="3" fillId="0" borderId="0" xfId="0" applyFont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1" fillId="0" borderId="0" xfId="0" applyFont="1"/>
    <xf numFmtId="0" fontId="0" fillId="2" borderId="1" xfId="0" applyFont="1" applyFill="1" applyBorder="1" applyAlignment="1">
      <alignment horizontal="right" vertical="center"/>
    </xf>
    <xf numFmtId="0" fontId="0" fillId="0" borderId="1" xfId="0" applyFont="1" applyBorder="1"/>
    <xf numFmtId="0" fontId="0" fillId="0" borderId="0" xfId="0" applyFont="1"/>
    <xf numFmtId="164" fontId="0" fillId="0" borderId="1" xfId="0" applyNumberFormat="1" applyBorder="1"/>
    <xf numFmtId="164" fontId="0" fillId="0" borderId="5" xfId="0" applyNumberFormat="1" applyBorder="1" applyAlignment="1"/>
    <xf numFmtId="164" fontId="0" fillId="0" borderId="1" xfId="0" applyNumberFormat="1" applyFont="1" applyBorder="1"/>
    <xf numFmtId="164" fontId="0" fillId="0" borderId="5" xfId="0" applyNumberFormat="1" applyFont="1" applyBorder="1" applyAlignment="1"/>
    <xf numFmtId="0" fontId="7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7"/>
  <sheetViews>
    <sheetView tabSelected="1" zoomScale="85" zoomScaleNormal="85" workbookViewId="0">
      <selection activeCell="Y39" sqref="Y39"/>
    </sheetView>
  </sheetViews>
  <sheetFormatPr defaultRowHeight="14.4" x14ac:dyDescent="0.3"/>
  <cols>
    <col min="1" max="1" width="3.5546875" bestFit="1" customWidth="1"/>
    <col min="2" max="2" width="10.33203125" bestFit="1" customWidth="1"/>
    <col min="3" max="8" width="9.88671875" bestFit="1" customWidth="1"/>
    <col min="9" max="12" width="9.88671875" customWidth="1"/>
    <col min="13" max="14" width="9.33203125" bestFit="1" customWidth="1"/>
    <col min="15" max="26" width="9.88671875" bestFit="1" customWidth="1"/>
  </cols>
  <sheetData>
    <row r="1" spans="1:26" x14ac:dyDescent="0.3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8"/>
      <c r="Y1" s="8"/>
      <c r="Z1" s="9" t="s">
        <v>94</v>
      </c>
    </row>
    <row r="2" spans="1:26" x14ac:dyDescent="0.3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8"/>
      <c r="Y2" s="8"/>
      <c r="Z2" s="9" t="s">
        <v>83</v>
      </c>
    </row>
    <row r="3" spans="1:26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8"/>
      <c r="Y3" s="8"/>
      <c r="Z3" s="9" t="s">
        <v>95</v>
      </c>
    </row>
    <row r="4" spans="1:26" x14ac:dyDescent="0.3">
      <c r="B4" s="18" t="s">
        <v>98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6"/>
      <c r="X4" s="6"/>
      <c r="Y4" s="6"/>
      <c r="Z4" s="6"/>
    </row>
    <row r="6" spans="1:26" x14ac:dyDescent="0.3">
      <c r="A6" s="19" t="s">
        <v>53</v>
      </c>
      <c r="B6" s="19" t="s">
        <v>4</v>
      </c>
      <c r="C6" s="19" t="s">
        <v>52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x14ac:dyDescent="0.3">
      <c r="A7" s="19"/>
      <c r="B7" s="19"/>
      <c r="C7" s="22" t="s">
        <v>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3"/>
      <c r="O7" s="19" t="s">
        <v>5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x14ac:dyDescent="0.3">
      <c r="A8" s="19"/>
      <c r="B8" s="19"/>
      <c r="C8" s="19" t="s">
        <v>6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3">
      <c r="A9" s="19"/>
      <c r="B9" s="19"/>
      <c r="C9" s="19" t="s">
        <v>1</v>
      </c>
      <c r="D9" s="19"/>
      <c r="E9" s="19" t="s">
        <v>2</v>
      </c>
      <c r="F9" s="19"/>
      <c r="G9" s="19" t="s">
        <v>3</v>
      </c>
      <c r="H9" s="19"/>
      <c r="I9" s="19" t="s">
        <v>91</v>
      </c>
      <c r="J9" s="19"/>
      <c r="K9" s="19" t="s">
        <v>92</v>
      </c>
      <c r="L9" s="19"/>
      <c r="M9" s="22" t="s">
        <v>88</v>
      </c>
      <c r="N9" s="23"/>
      <c r="O9" s="19" t="s">
        <v>7</v>
      </c>
      <c r="P9" s="19"/>
      <c r="Q9" s="19" t="s">
        <v>8</v>
      </c>
      <c r="R9" s="19"/>
      <c r="S9" s="19" t="s">
        <v>11</v>
      </c>
      <c r="T9" s="19"/>
      <c r="U9" s="19" t="s">
        <v>12</v>
      </c>
      <c r="V9" s="19"/>
      <c r="W9" s="19" t="s">
        <v>13</v>
      </c>
      <c r="X9" s="19"/>
      <c r="Y9" s="19" t="s">
        <v>14</v>
      </c>
      <c r="Z9" s="19"/>
    </row>
    <row r="10" spans="1:26" x14ac:dyDescent="0.3">
      <c r="A10" s="19"/>
      <c r="B10" s="19"/>
      <c r="C10" s="11" t="s">
        <v>9</v>
      </c>
      <c r="D10" s="11" t="s">
        <v>10</v>
      </c>
      <c r="E10" s="11" t="s">
        <v>9</v>
      </c>
      <c r="F10" s="11" t="s">
        <v>10</v>
      </c>
      <c r="G10" s="11" t="s">
        <v>9</v>
      </c>
      <c r="H10" s="11" t="s">
        <v>10</v>
      </c>
      <c r="I10" s="11" t="s">
        <v>9</v>
      </c>
      <c r="J10" s="11" t="s">
        <v>10</v>
      </c>
      <c r="K10" s="11" t="s">
        <v>9</v>
      </c>
      <c r="L10" s="11" t="s">
        <v>10</v>
      </c>
      <c r="M10" s="11" t="s">
        <v>9</v>
      </c>
      <c r="N10" s="11" t="s">
        <v>10</v>
      </c>
      <c r="O10" s="11" t="s">
        <v>9</v>
      </c>
      <c r="P10" s="11" t="s">
        <v>10</v>
      </c>
      <c r="Q10" s="11" t="s">
        <v>9</v>
      </c>
      <c r="R10" s="11" t="s">
        <v>10</v>
      </c>
      <c r="S10" s="11" t="s">
        <v>9</v>
      </c>
      <c r="T10" s="11" t="s">
        <v>10</v>
      </c>
      <c r="U10" s="11" t="s">
        <v>9</v>
      </c>
      <c r="V10" s="11" t="s">
        <v>10</v>
      </c>
      <c r="W10" s="11" t="s">
        <v>9</v>
      </c>
      <c r="X10" s="11" t="s">
        <v>10</v>
      </c>
      <c r="Y10" s="11" t="s">
        <v>9</v>
      </c>
      <c r="Z10" s="11" t="s">
        <v>10</v>
      </c>
    </row>
    <row r="11" spans="1:26" x14ac:dyDescent="0.3">
      <c r="A11" s="1" t="s">
        <v>54</v>
      </c>
      <c r="B11" s="1" t="s">
        <v>24</v>
      </c>
      <c r="C11" s="14">
        <f>C16*1.634</f>
        <v>882.3599999999999</v>
      </c>
      <c r="D11" s="14">
        <f>ROUND(C11,0)*1.23</f>
        <v>1084.8599999999999</v>
      </c>
      <c r="E11" s="14">
        <f>E16*1.697</f>
        <v>916.38</v>
      </c>
      <c r="F11" s="14">
        <f>ROUND(E11,0)*1.23</f>
        <v>1126.68</v>
      </c>
      <c r="G11" s="14">
        <f>G16*1.555</f>
        <v>839.69999999999993</v>
      </c>
      <c r="H11" s="14">
        <f>ROUND(G11,0)*1.23</f>
        <v>1033.2</v>
      </c>
      <c r="I11" s="15"/>
      <c r="J11" s="15"/>
      <c r="K11" s="15"/>
      <c r="L11" s="15"/>
      <c r="M11" s="15"/>
      <c r="N11" s="15"/>
      <c r="O11" s="14">
        <f>O16*2.89</f>
        <v>4681.8</v>
      </c>
      <c r="P11" s="14">
        <f>ROUND(O11,0)*1.23</f>
        <v>5758.86</v>
      </c>
      <c r="Q11" s="14">
        <f>Q16*2.89</f>
        <v>4681.8</v>
      </c>
      <c r="R11" s="14">
        <f>ROUND(Q11,0)*1.23</f>
        <v>5758.86</v>
      </c>
      <c r="S11" s="14">
        <f>S16*1.816</f>
        <v>1035.1200000000001</v>
      </c>
      <c r="T11" s="14">
        <f>ROUND(S11,0)*1.23</f>
        <v>1273.05</v>
      </c>
      <c r="U11" s="14">
        <f>U16*1.99</f>
        <v>1194</v>
      </c>
      <c r="V11" s="14">
        <f>ROUND(U11,0)*1.23</f>
        <v>1468.62</v>
      </c>
      <c r="W11" s="14">
        <f>W16*2.241</f>
        <v>3630.42</v>
      </c>
      <c r="X11" s="14">
        <f>ROUND(W11,0)*1.23</f>
        <v>4464.8999999999996</v>
      </c>
      <c r="Y11" s="14">
        <f>Y16*1.742</f>
        <v>1045.2</v>
      </c>
      <c r="Z11" s="14">
        <f>ROUND(Y11,0)*1.23</f>
        <v>1285.3499999999999</v>
      </c>
    </row>
    <row r="12" spans="1:26" x14ac:dyDescent="0.3">
      <c r="A12" s="1" t="s">
        <v>55</v>
      </c>
      <c r="B12" s="1" t="s">
        <v>25</v>
      </c>
      <c r="C12" s="14">
        <f>C16*2.001</f>
        <v>1080.54</v>
      </c>
      <c r="D12" s="14">
        <f t="shared" ref="D12:D39" si="0">ROUND(C12,0)*1.23</f>
        <v>1329.6299999999999</v>
      </c>
      <c r="E12" s="14">
        <f>E16*2.011</f>
        <v>1085.94</v>
      </c>
      <c r="F12" s="14">
        <f t="shared" ref="F12:F21" si="1">ROUND(E12,0)*1.23</f>
        <v>1335.78</v>
      </c>
      <c r="G12" s="14">
        <f>G16*1.881</f>
        <v>1015.74</v>
      </c>
      <c r="H12" s="14">
        <f t="shared" ref="H12:H21" si="2">ROUND(G12,0)*1.23</f>
        <v>1249.68</v>
      </c>
      <c r="I12" s="15"/>
      <c r="J12" s="15"/>
      <c r="K12" s="15"/>
      <c r="L12" s="15"/>
      <c r="M12" s="15"/>
      <c r="N12" s="15"/>
      <c r="O12" s="14">
        <f>O16*3.7</f>
        <v>5994</v>
      </c>
      <c r="P12" s="14">
        <f>ROUND(O12,0)*1.23</f>
        <v>7372.62</v>
      </c>
      <c r="Q12" s="14">
        <f>Q16*3.7</f>
        <v>5994</v>
      </c>
      <c r="R12" s="14">
        <f t="shared" ref="R12:R21" si="3">ROUND(Q12,0)*1.23</f>
        <v>7372.62</v>
      </c>
      <c r="S12" s="14">
        <f>S16*2.167</f>
        <v>1235.1899999999998</v>
      </c>
      <c r="T12" s="14">
        <f t="shared" ref="T12:T21" si="4">ROUND(S12,0)*1.23</f>
        <v>1519.05</v>
      </c>
      <c r="U12" s="14">
        <f>U16*2.228</f>
        <v>1336.8000000000002</v>
      </c>
      <c r="V12" s="14">
        <f t="shared" ref="V12:V21" si="5">ROUND(U12,0)*1.23</f>
        <v>1644.51</v>
      </c>
      <c r="W12" s="14">
        <f>W16*2.934</f>
        <v>4753.08</v>
      </c>
      <c r="X12" s="14">
        <f t="shared" ref="X12:X21" si="6">ROUND(W12,0)*1.23</f>
        <v>5846.19</v>
      </c>
      <c r="Y12" s="14">
        <f>Y16*1.955</f>
        <v>1173</v>
      </c>
      <c r="Z12" s="14">
        <f t="shared" ref="Z12:Z21" si="7">ROUND(Y12,0)*1.23</f>
        <v>1442.79</v>
      </c>
    </row>
    <row r="13" spans="1:26" x14ac:dyDescent="0.3">
      <c r="A13" s="1" t="s">
        <v>58</v>
      </c>
      <c r="B13" s="1" t="s">
        <v>26</v>
      </c>
      <c r="C13" s="14">
        <f>C16*1.1</f>
        <v>594</v>
      </c>
      <c r="D13" s="14">
        <f t="shared" si="0"/>
        <v>730.62</v>
      </c>
      <c r="E13" s="14">
        <f>E16*1.258</f>
        <v>679.32</v>
      </c>
      <c r="F13" s="14">
        <f t="shared" si="1"/>
        <v>835.17</v>
      </c>
      <c r="G13" s="14">
        <f>G16*1.205</f>
        <v>650.70000000000005</v>
      </c>
      <c r="H13" s="14">
        <f t="shared" si="2"/>
        <v>800.73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4">
        <f>S16*1.224</f>
        <v>697.68</v>
      </c>
      <c r="T13" s="14">
        <f t="shared" si="4"/>
        <v>858.54</v>
      </c>
      <c r="U13" s="14">
        <f>U16*1.21</f>
        <v>726</v>
      </c>
      <c r="V13" s="14">
        <f t="shared" si="5"/>
        <v>892.98</v>
      </c>
      <c r="W13" s="14">
        <f>W16*1.464</f>
        <v>2371.6799999999998</v>
      </c>
      <c r="X13" s="14">
        <f t="shared" si="6"/>
        <v>2917.56</v>
      </c>
      <c r="Y13" s="14">
        <f>Y16*1.401</f>
        <v>840.6</v>
      </c>
      <c r="Z13" s="14">
        <f t="shared" si="7"/>
        <v>1034.43</v>
      </c>
    </row>
    <row r="14" spans="1:26" x14ac:dyDescent="0.3">
      <c r="A14" s="1" t="s">
        <v>60</v>
      </c>
      <c r="B14" s="1" t="s">
        <v>27</v>
      </c>
      <c r="C14" s="14">
        <f>C16*1.354</f>
        <v>731.16000000000008</v>
      </c>
      <c r="D14" s="14">
        <f t="shared" si="0"/>
        <v>899.13</v>
      </c>
      <c r="E14" s="14">
        <f>E16*1.399</f>
        <v>755.46</v>
      </c>
      <c r="F14" s="14">
        <f t="shared" si="1"/>
        <v>928.65</v>
      </c>
      <c r="G14" s="14">
        <f>G16*1.352</f>
        <v>730.08</v>
      </c>
      <c r="H14" s="14">
        <f t="shared" si="2"/>
        <v>897.9</v>
      </c>
      <c r="I14" s="15"/>
      <c r="J14" s="15"/>
      <c r="K14" s="15"/>
      <c r="L14" s="15"/>
      <c r="M14" s="15"/>
      <c r="N14" s="15"/>
      <c r="O14" s="14">
        <f>O16*2.09</f>
        <v>3385.7999999999997</v>
      </c>
      <c r="P14" s="14">
        <f>ROUND(O14,0)*1.23</f>
        <v>4164.78</v>
      </c>
      <c r="Q14" s="14">
        <f>Q16*2.09</f>
        <v>3385.7999999999997</v>
      </c>
      <c r="R14" s="14">
        <f t="shared" si="3"/>
        <v>4164.78</v>
      </c>
      <c r="S14" s="14">
        <f>S16*1.425</f>
        <v>812.25</v>
      </c>
      <c r="T14" s="14">
        <f t="shared" si="4"/>
        <v>998.76</v>
      </c>
      <c r="U14" s="14">
        <f>U16*1.429</f>
        <v>857.4</v>
      </c>
      <c r="V14" s="14">
        <f t="shared" si="5"/>
        <v>1054.1099999999999</v>
      </c>
      <c r="W14" s="14">
        <f>W16*1.747</f>
        <v>2830.1400000000003</v>
      </c>
      <c r="X14" s="14">
        <f t="shared" si="6"/>
        <v>3480.9</v>
      </c>
      <c r="Y14" s="14">
        <f>Y16*1.47</f>
        <v>882</v>
      </c>
      <c r="Z14" s="14">
        <f t="shared" si="7"/>
        <v>1084.8599999999999</v>
      </c>
    </row>
    <row r="15" spans="1:26" x14ac:dyDescent="0.3">
      <c r="A15" s="1" t="s">
        <v>57</v>
      </c>
      <c r="B15" s="1" t="s">
        <v>28</v>
      </c>
      <c r="C15" s="14">
        <f>C16*1.546</f>
        <v>834.84</v>
      </c>
      <c r="D15" s="14">
        <f t="shared" si="0"/>
        <v>1027.05</v>
      </c>
      <c r="E15" s="14">
        <f>E16*1.632</f>
        <v>881.28</v>
      </c>
      <c r="F15" s="14">
        <f t="shared" si="1"/>
        <v>1083.6299999999999</v>
      </c>
      <c r="G15" s="14">
        <f>G16*1.479</f>
        <v>798.66000000000008</v>
      </c>
      <c r="H15" s="14">
        <f t="shared" si="2"/>
        <v>982.77</v>
      </c>
      <c r="I15" s="15"/>
      <c r="J15" s="15"/>
      <c r="K15" s="15"/>
      <c r="L15" s="15"/>
      <c r="M15" s="15"/>
      <c r="N15" s="15"/>
      <c r="O15" s="14">
        <f>O16*3</f>
        <v>4860</v>
      </c>
      <c r="P15" s="14">
        <f t="shared" ref="P15:P21" si="8">ROUND(O15,0)*1.23</f>
        <v>5977.8</v>
      </c>
      <c r="Q15" s="14">
        <f>Q16*3</f>
        <v>4860</v>
      </c>
      <c r="R15" s="14">
        <f t="shared" si="3"/>
        <v>5977.8</v>
      </c>
      <c r="S15" s="14">
        <f>S16*1.631</f>
        <v>929.67</v>
      </c>
      <c r="T15" s="14">
        <f t="shared" si="4"/>
        <v>1143.9000000000001</v>
      </c>
      <c r="U15" s="14">
        <f>U16*1.706</f>
        <v>1023.6</v>
      </c>
      <c r="V15" s="14">
        <f t="shared" si="5"/>
        <v>1259.52</v>
      </c>
      <c r="W15" s="14">
        <f>W16*2.103</f>
        <v>3406.86</v>
      </c>
      <c r="X15" s="14">
        <f t="shared" si="6"/>
        <v>4190.6099999999997</v>
      </c>
      <c r="Y15" s="14">
        <f>Y16*1.705</f>
        <v>1023</v>
      </c>
      <c r="Z15" s="14">
        <f t="shared" si="7"/>
        <v>1258.29</v>
      </c>
    </row>
    <row r="16" spans="1:26" s="13" customFormat="1" x14ac:dyDescent="0.3">
      <c r="A16" s="12" t="s">
        <v>56</v>
      </c>
      <c r="B16" s="12" t="s">
        <v>29</v>
      </c>
      <c r="C16" s="16">
        <v>540</v>
      </c>
      <c r="D16" s="16">
        <f t="shared" si="0"/>
        <v>664.2</v>
      </c>
      <c r="E16" s="16">
        <v>540</v>
      </c>
      <c r="F16" s="16">
        <f t="shared" si="1"/>
        <v>664.2</v>
      </c>
      <c r="G16" s="16">
        <v>540</v>
      </c>
      <c r="H16" s="16">
        <f t="shared" si="2"/>
        <v>664.2</v>
      </c>
      <c r="I16" s="15"/>
      <c r="J16" s="15"/>
      <c r="K16" s="15"/>
      <c r="L16" s="15"/>
      <c r="M16" s="17"/>
      <c r="N16" s="17"/>
      <c r="O16" s="16">
        <v>1620</v>
      </c>
      <c r="P16" s="16">
        <f t="shared" si="8"/>
        <v>1992.6</v>
      </c>
      <c r="Q16" s="16">
        <v>1620</v>
      </c>
      <c r="R16" s="16">
        <f t="shared" si="3"/>
        <v>1992.6</v>
      </c>
      <c r="S16" s="16">
        <v>570</v>
      </c>
      <c r="T16" s="16">
        <f t="shared" si="4"/>
        <v>701.1</v>
      </c>
      <c r="U16" s="16">
        <v>600</v>
      </c>
      <c r="V16" s="16">
        <f t="shared" si="5"/>
        <v>738</v>
      </c>
      <c r="W16" s="16">
        <v>1620</v>
      </c>
      <c r="X16" s="16">
        <f t="shared" si="6"/>
        <v>1992.6</v>
      </c>
      <c r="Y16" s="16">
        <v>600</v>
      </c>
      <c r="Z16" s="16">
        <f t="shared" si="7"/>
        <v>738</v>
      </c>
    </row>
    <row r="17" spans="1:26" x14ac:dyDescent="0.3">
      <c r="A17" s="1" t="s">
        <v>61</v>
      </c>
      <c r="B17" s="1" t="s">
        <v>30</v>
      </c>
      <c r="C17" s="14">
        <f>C16*1.169</f>
        <v>631.26</v>
      </c>
      <c r="D17" s="14">
        <f t="shared" si="0"/>
        <v>776.13</v>
      </c>
      <c r="E17" s="14">
        <f>E16*1.165</f>
        <v>629.1</v>
      </c>
      <c r="F17" s="14">
        <f t="shared" si="1"/>
        <v>773.67</v>
      </c>
      <c r="G17" s="14">
        <f>G16*1.164</f>
        <v>628.55999999999995</v>
      </c>
      <c r="H17" s="14">
        <f t="shared" si="2"/>
        <v>773.67</v>
      </c>
      <c r="I17" s="15"/>
      <c r="J17" s="15"/>
      <c r="K17" s="15"/>
      <c r="L17" s="15"/>
      <c r="M17" s="15"/>
      <c r="N17" s="15"/>
      <c r="O17" s="14">
        <f>O16*1.44</f>
        <v>2332.7999999999997</v>
      </c>
      <c r="P17" s="14">
        <f t="shared" si="8"/>
        <v>2869.59</v>
      </c>
      <c r="Q17" s="14">
        <f>Q16*1.44</f>
        <v>2332.7999999999997</v>
      </c>
      <c r="R17" s="14">
        <f t="shared" si="3"/>
        <v>2869.59</v>
      </c>
      <c r="S17" s="14">
        <f>S16*1.123</f>
        <v>640.11</v>
      </c>
      <c r="T17" s="14">
        <f t="shared" si="4"/>
        <v>787.2</v>
      </c>
      <c r="U17" s="14">
        <f>U16*1.149</f>
        <v>689.4</v>
      </c>
      <c r="V17" s="14">
        <f t="shared" si="5"/>
        <v>847.47</v>
      </c>
      <c r="W17" s="14">
        <f>W16*1.266</f>
        <v>2050.92</v>
      </c>
      <c r="X17" s="14">
        <f t="shared" si="6"/>
        <v>2522.73</v>
      </c>
      <c r="Y17" s="14">
        <f>Y16*1.136</f>
        <v>681.59999999999991</v>
      </c>
      <c r="Z17" s="14">
        <f t="shared" si="7"/>
        <v>838.86</v>
      </c>
    </row>
    <row r="18" spans="1:26" x14ac:dyDescent="0.3">
      <c r="A18" s="1" t="s">
        <v>59</v>
      </c>
      <c r="B18" s="1" t="s">
        <v>31</v>
      </c>
      <c r="C18" s="14">
        <f>C16*1.332</f>
        <v>719.28000000000009</v>
      </c>
      <c r="D18" s="14">
        <f t="shared" si="0"/>
        <v>884.37</v>
      </c>
      <c r="E18" s="14">
        <f>E16*1.338</f>
        <v>722.5200000000001</v>
      </c>
      <c r="F18" s="14">
        <f t="shared" si="1"/>
        <v>889.29</v>
      </c>
      <c r="G18" s="14">
        <f>G16*1.312</f>
        <v>708.48</v>
      </c>
      <c r="H18" s="14">
        <f t="shared" si="2"/>
        <v>870.84</v>
      </c>
      <c r="I18" s="15"/>
      <c r="J18" s="15"/>
      <c r="K18" s="15"/>
      <c r="L18" s="15"/>
      <c r="M18" s="15"/>
      <c r="N18" s="15"/>
      <c r="O18" s="14">
        <f>O16*1.94</f>
        <v>3142.7999999999997</v>
      </c>
      <c r="P18" s="14">
        <f t="shared" si="8"/>
        <v>3865.89</v>
      </c>
      <c r="Q18" s="14">
        <f>Q16*1.94</f>
        <v>3142.7999999999997</v>
      </c>
      <c r="R18" s="14">
        <f t="shared" si="3"/>
        <v>3865.89</v>
      </c>
      <c r="S18" s="14">
        <f>S16*1.291</f>
        <v>735.87</v>
      </c>
      <c r="T18" s="14">
        <f t="shared" si="4"/>
        <v>905.28</v>
      </c>
      <c r="U18" s="14">
        <f>U16*1.336</f>
        <v>801.6</v>
      </c>
      <c r="V18" s="14">
        <f t="shared" si="5"/>
        <v>986.46</v>
      </c>
      <c r="W18" s="14">
        <f>W16*1.507</f>
        <v>2441.3399999999997</v>
      </c>
      <c r="X18" s="14">
        <f t="shared" si="6"/>
        <v>3002.43</v>
      </c>
      <c r="Y18" s="14">
        <f>Y16*1.286</f>
        <v>771.6</v>
      </c>
      <c r="Z18" s="14">
        <f t="shared" si="7"/>
        <v>949.56</v>
      </c>
    </row>
    <row r="19" spans="1:26" x14ac:dyDescent="0.3">
      <c r="A19" s="1" t="s">
        <v>62</v>
      </c>
      <c r="B19" s="1" t="s">
        <v>32</v>
      </c>
      <c r="C19" s="14">
        <f>C16*0.765</f>
        <v>413.1</v>
      </c>
      <c r="D19" s="14">
        <f t="shared" si="0"/>
        <v>507.99</v>
      </c>
      <c r="E19" s="14">
        <f>E16*0.719</f>
        <v>388.26</v>
      </c>
      <c r="F19" s="14">
        <f t="shared" si="1"/>
        <v>477.24</v>
      </c>
      <c r="G19" s="14">
        <f>G16*0.781</f>
        <v>421.74</v>
      </c>
      <c r="H19" s="14">
        <f t="shared" si="2"/>
        <v>519.05999999999995</v>
      </c>
      <c r="I19" s="15"/>
      <c r="J19" s="15"/>
      <c r="K19" s="15"/>
      <c r="L19" s="15"/>
      <c r="M19" s="15"/>
      <c r="N19" s="15"/>
      <c r="O19" s="14">
        <f>O16*0.55</f>
        <v>891.00000000000011</v>
      </c>
      <c r="P19" s="14">
        <f t="shared" si="8"/>
        <v>1095.93</v>
      </c>
      <c r="Q19" s="14">
        <f>Q16*0.55</f>
        <v>891.00000000000011</v>
      </c>
      <c r="R19" s="14">
        <f t="shared" si="3"/>
        <v>1095.93</v>
      </c>
      <c r="S19" s="14">
        <f>S16*0.861</f>
        <v>490.77</v>
      </c>
      <c r="T19" s="14">
        <f t="shared" si="4"/>
        <v>603.92999999999995</v>
      </c>
      <c r="U19" s="14">
        <f>U16*0.849</f>
        <v>509.4</v>
      </c>
      <c r="V19" s="14">
        <f t="shared" si="5"/>
        <v>626.06999999999994</v>
      </c>
      <c r="W19" s="14">
        <f>W16*0.681</f>
        <v>1103.22</v>
      </c>
      <c r="X19" s="14">
        <f t="shared" si="6"/>
        <v>1356.69</v>
      </c>
      <c r="Y19" s="14">
        <f>Y16*0.814</f>
        <v>488.4</v>
      </c>
      <c r="Z19" s="14">
        <f t="shared" si="7"/>
        <v>600.24</v>
      </c>
    </row>
    <row r="20" spans="1:26" x14ac:dyDescent="0.3">
      <c r="A20" s="1" t="s">
        <v>63</v>
      </c>
      <c r="B20" s="1" t="s">
        <v>33</v>
      </c>
      <c r="C20" s="14">
        <f>C16*0.832</f>
        <v>449.28</v>
      </c>
      <c r="D20" s="14">
        <f t="shared" si="0"/>
        <v>552.27</v>
      </c>
      <c r="E20" s="14">
        <f>E16*0.787</f>
        <v>424.98</v>
      </c>
      <c r="F20" s="14">
        <f t="shared" si="1"/>
        <v>522.75</v>
      </c>
      <c r="G20" s="14">
        <f>G16*0.864</f>
        <v>466.56</v>
      </c>
      <c r="H20" s="14">
        <f t="shared" si="2"/>
        <v>574.41</v>
      </c>
      <c r="I20" s="15"/>
      <c r="J20" s="15"/>
      <c r="K20" s="15"/>
      <c r="L20" s="15"/>
      <c r="M20" s="15"/>
      <c r="N20" s="15"/>
      <c r="O20" s="14">
        <f>O16*0.94</f>
        <v>1522.8</v>
      </c>
      <c r="P20" s="14">
        <f t="shared" si="8"/>
        <v>1873.29</v>
      </c>
      <c r="Q20" s="14">
        <f>Q16*0.94</f>
        <v>1522.8</v>
      </c>
      <c r="R20" s="14">
        <f t="shared" si="3"/>
        <v>1873.29</v>
      </c>
      <c r="S20" s="14">
        <f>S16*0.952</f>
        <v>542.64</v>
      </c>
      <c r="T20" s="14">
        <f t="shared" si="4"/>
        <v>667.89</v>
      </c>
      <c r="U20" s="14">
        <f>U16*0.957</f>
        <v>574.19999999999993</v>
      </c>
      <c r="V20" s="14">
        <f t="shared" si="5"/>
        <v>706.02</v>
      </c>
      <c r="W20" s="14">
        <f>W16*0.855</f>
        <v>1385.1</v>
      </c>
      <c r="X20" s="14">
        <f t="shared" si="6"/>
        <v>1703.55</v>
      </c>
      <c r="Y20" s="14">
        <f>Y16*0.863</f>
        <v>517.79999999999995</v>
      </c>
      <c r="Z20" s="14">
        <f t="shared" si="7"/>
        <v>637.14</v>
      </c>
    </row>
    <row r="21" spans="1:26" x14ac:dyDescent="0.3">
      <c r="A21" s="1" t="s">
        <v>64</v>
      </c>
      <c r="B21" s="1" t="s">
        <v>34</v>
      </c>
      <c r="C21" s="14">
        <f>C16*0.903</f>
        <v>487.62</v>
      </c>
      <c r="D21" s="14">
        <f t="shared" si="0"/>
        <v>600.24</v>
      </c>
      <c r="E21" s="14">
        <f>E16*0.877</f>
        <v>473.58</v>
      </c>
      <c r="F21" s="14">
        <f t="shared" si="1"/>
        <v>583.02</v>
      </c>
      <c r="G21" s="14">
        <f>G16*0.998</f>
        <v>538.91999999999996</v>
      </c>
      <c r="H21" s="14">
        <f t="shared" si="2"/>
        <v>662.97</v>
      </c>
      <c r="I21" s="15"/>
      <c r="J21" s="15"/>
      <c r="K21" s="15"/>
      <c r="L21" s="15"/>
      <c r="M21" s="15"/>
      <c r="N21" s="15"/>
      <c r="O21" s="14">
        <f>O16*1.3</f>
        <v>2106</v>
      </c>
      <c r="P21" s="14">
        <f t="shared" si="8"/>
        <v>2590.38</v>
      </c>
      <c r="Q21" s="14">
        <f>Q16*1.3</f>
        <v>2106</v>
      </c>
      <c r="R21" s="14">
        <f t="shared" si="3"/>
        <v>2590.38</v>
      </c>
      <c r="S21" s="14">
        <f>S16*1.032</f>
        <v>588.24</v>
      </c>
      <c r="T21" s="14">
        <f t="shared" si="4"/>
        <v>723.24</v>
      </c>
      <c r="U21" s="14">
        <f>U16*1.075</f>
        <v>645</v>
      </c>
      <c r="V21" s="14">
        <f t="shared" si="5"/>
        <v>793.35</v>
      </c>
      <c r="W21" s="14">
        <f>W16*1.034</f>
        <v>1675.0800000000002</v>
      </c>
      <c r="X21" s="14">
        <f t="shared" si="6"/>
        <v>2060.25</v>
      </c>
      <c r="Y21" s="14">
        <f>Y16*0.971</f>
        <v>582.6</v>
      </c>
      <c r="Z21" s="14">
        <f t="shared" si="7"/>
        <v>717.09</v>
      </c>
    </row>
    <row r="22" spans="1:26" x14ac:dyDescent="0.3">
      <c r="A22" s="1" t="s">
        <v>65</v>
      </c>
      <c r="B22" s="1" t="s">
        <v>90</v>
      </c>
      <c r="C22" s="14">
        <v>570</v>
      </c>
      <c r="D22" s="14">
        <f t="shared" si="0"/>
        <v>701.1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3">
      <c r="A23" s="1" t="s">
        <v>65</v>
      </c>
      <c r="B23" s="1" t="s">
        <v>35</v>
      </c>
      <c r="C23" s="14">
        <f>C27*1.634</f>
        <v>931.38</v>
      </c>
      <c r="D23" s="14">
        <f t="shared" si="0"/>
        <v>1145.1299999999999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3">
      <c r="A24" s="1" t="s">
        <v>66</v>
      </c>
      <c r="B24" s="1" t="s">
        <v>36</v>
      </c>
      <c r="C24" s="14">
        <f>C27*2.001</f>
        <v>1140.57</v>
      </c>
      <c r="D24" s="14">
        <f t="shared" si="0"/>
        <v>1403.43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3">
      <c r="A25" s="1" t="s">
        <v>67</v>
      </c>
      <c r="B25" s="1" t="s">
        <v>37</v>
      </c>
      <c r="C25" s="14">
        <f>C27*1.354</f>
        <v>771.78000000000009</v>
      </c>
      <c r="D25" s="14">
        <f t="shared" si="0"/>
        <v>949.56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3">
      <c r="A26" s="1" t="s">
        <v>68</v>
      </c>
      <c r="B26" s="1" t="s">
        <v>38</v>
      </c>
      <c r="C26" s="14">
        <f>C27*1.546</f>
        <v>881.22</v>
      </c>
      <c r="D26" s="14">
        <f t="shared" si="0"/>
        <v>1083.6299999999999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3">
      <c r="A27" s="1" t="s">
        <v>69</v>
      </c>
      <c r="B27" s="1" t="s">
        <v>39</v>
      </c>
      <c r="C27" s="14">
        <v>570</v>
      </c>
      <c r="D27" s="14">
        <f t="shared" si="0"/>
        <v>701.1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3">
      <c r="A28" s="1" t="s">
        <v>70</v>
      </c>
      <c r="B28" s="1" t="s">
        <v>40</v>
      </c>
      <c r="C28" s="14">
        <f>C27*1.169</f>
        <v>666.33</v>
      </c>
      <c r="D28" s="14">
        <f t="shared" si="0"/>
        <v>819.18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3">
      <c r="A29" s="1" t="s">
        <v>71</v>
      </c>
      <c r="B29" s="1" t="s">
        <v>41</v>
      </c>
      <c r="C29" s="14">
        <f>C27*1.332</f>
        <v>759.24</v>
      </c>
      <c r="D29" s="14">
        <f t="shared" si="0"/>
        <v>933.56999999999994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3">
      <c r="A30" s="1" t="s">
        <v>72</v>
      </c>
      <c r="B30" s="1" t="s">
        <v>42</v>
      </c>
      <c r="C30" s="14">
        <f>C27*0.765</f>
        <v>436.05</v>
      </c>
      <c r="D30" s="14">
        <f t="shared" si="0"/>
        <v>536.28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3">
      <c r="A31" s="1" t="s">
        <v>73</v>
      </c>
      <c r="B31" s="1" t="s">
        <v>43</v>
      </c>
      <c r="C31" s="14">
        <f>C27*0.832</f>
        <v>474.23999999999995</v>
      </c>
      <c r="D31" s="14">
        <f t="shared" si="0"/>
        <v>583.02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3">
      <c r="A32" s="1" t="s">
        <v>74</v>
      </c>
      <c r="B32" s="1" t="s">
        <v>44</v>
      </c>
      <c r="C32" s="14">
        <f>C27*0.903</f>
        <v>514.71</v>
      </c>
      <c r="D32" s="14">
        <f t="shared" si="0"/>
        <v>633.45000000000005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3">
      <c r="A33" s="1" t="s">
        <v>75</v>
      </c>
      <c r="B33" s="1" t="s">
        <v>45</v>
      </c>
      <c r="C33" s="14">
        <v>500</v>
      </c>
      <c r="D33" s="14">
        <f t="shared" si="0"/>
        <v>615</v>
      </c>
      <c r="E33" s="14">
        <v>500</v>
      </c>
      <c r="F33" s="14">
        <f>ROUND(E33,0)*1.23</f>
        <v>615</v>
      </c>
      <c r="G33" s="14">
        <v>500</v>
      </c>
      <c r="H33" s="14">
        <f>ROUND(G33,0)*1.23</f>
        <v>615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s="13" customFormat="1" x14ac:dyDescent="0.3">
      <c r="A34" s="12" t="s">
        <v>76</v>
      </c>
      <c r="B34" s="12" t="s">
        <v>46</v>
      </c>
      <c r="C34" s="16">
        <v>580</v>
      </c>
      <c r="D34" s="16">
        <f t="shared" si="0"/>
        <v>713.4</v>
      </c>
      <c r="E34" s="16">
        <v>580</v>
      </c>
      <c r="F34" s="16">
        <f t="shared" ref="F34:F39" si="9">ROUND(E34,0)*1.23</f>
        <v>713.4</v>
      </c>
      <c r="G34" s="16">
        <v>580</v>
      </c>
      <c r="H34" s="16">
        <f t="shared" ref="H34:H39" si="10">ROUND(G34,0)*1.23</f>
        <v>713.4</v>
      </c>
      <c r="I34" s="15"/>
      <c r="J34" s="15"/>
      <c r="K34" s="15"/>
      <c r="L34" s="15"/>
      <c r="M34" s="17"/>
      <c r="N34" s="17"/>
      <c r="O34" s="16">
        <v>520</v>
      </c>
      <c r="P34" s="16">
        <f>ROUND(O34,0)*1.23</f>
        <v>639.6</v>
      </c>
      <c r="Q34" s="16">
        <v>520</v>
      </c>
      <c r="R34" s="16">
        <f t="shared" ref="R34:R35" si="11">Q34*1.23</f>
        <v>639.6</v>
      </c>
      <c r="S34" s="16">
        <v>660</v>
      </c>
      <c r="T34" s="16">
        <f t="shared" ref="T34" si="12">S34*1.23</f>
        <v>811.8</v>
      </c>
      <c r="U34" s="16">
        <v>660</v>
      </c>
      <c r="V34" s="16">
        <f t="shared" ref="V34" si="13">U34*1.23</f>
        <v>811.8</v>
      </c>
      <c r="W34" s="16">
        <v>480</v>
      </c>
      <c r="X34" s="16">
        <f t="shared" ref="X34" si="14">W34*1.23</f>
        <v>590.4</v>
      </c>
      <c r="Y34" s="16">
        <v>660</v>
      </c>
      <c r="Z34" s="16">
        <f t="shared" ref="Z34" si="15">Y34*1.23</f>
        <v>811.8</v>
      </c>
    </row>
    <row r="35" spans="1:26" s="13" customFormat="1" x14ac:dyDescent="0.3">
      <c r="A35" s="12" t="s">
        <v>77</v>
      </c>
      <c r="B35" s="12" t="s">
        <v>47</v>
      </c>
      <c r="C35" s="16">
        <v>560</v>
      </c>
      <c r="D35" s="16">
        <f t="shared" si="0"/>
        <v>688.8</v>
      </c>
      <c r="E35" s="16">
        <v>560</v>
      </c>
      <c r="F35" s="16">
        <f t="shared" si="9"/>
        <v>688.8</v>
      </c>
      <c r="G35" s="16">
        <v>560</v>
      </c>
      <c r="H35" s="16">
        <f t="shared" si="10"/>
        <v>688.8</v>
      </c>
      <c r="I35" s="15"/>
      <c r="J35" s="15"/>
      <c r="K35" s="15"/>
      <c r="L35" s="15"/>
      <c r="M35" s="17"/>
      <c r="N35" s="17"/>
      <c r="O35" s="16">
        <v>1220</v>
      </c>
      <c r="P35" s="16">
        <f t="shared" ref="P35:P39" si="16">ROUND(O35,0)*1.23</f>
        <v>1500.6</v>
      </c>
      <c r="Q35" s="16">
        <v>1220</v>
      </c>
      <c r="R35" s="16">
        <f t="shared" si="11"/>
        <v>1500.6</v>
      </c>
      <c r="S35" s="16">
        <v>570</v>
      </c>
      <c r="T35" s="16">
        <f t="shared" ref="T35" si="17">S35*1.23</f>
        <v>701.1</v>
      </c>
      <c r="U35" s="16">
        <v>570</v>
      </c>
      <c r="V35" s="16">
        <f t="shared" ref="V35" si="18">U35*1.23</f>
        <v>701.1</v>
      </c>
      <c r="W35" s="16">
        <v>550</v>
      </c>
      <c r="X35" s="16">
        <f t="shared" ref="X35" si="19">W35*1.23</f>
        <v>676.5</v>
      </c>
      <c r="Y35" s="16">
        <v>510</v>
      </c>
      <c r="Z35" s="16">
        <f t="shared" ref="Z35" si="20">Y35*1.23</f>
        <v>627.29999999999995</v>
      </c>
    </row>
    <row r="36" spans="1:26" s="13" customFormat="1" x14ac:dyDescent="0.3">
      <c r="A36" s="12" t="s">
        <v>78</v>
      </c>
      <c r="B36" s="12" t="s">
        <v>48</v>
      </c>
      <c r="C36" s="16">
        <v>260</v>
      </c>
      <c r="D36" s="16">
        <f t="shared" si="0"/>
        <v>319.8</v>
      </c>
      <c r="E36" s="16">
        <v>260</v>
      </c>
      <c r="F36" s="16">
        <f t="shared" si="9"/>
        <v>319.8</v>
      </c>
      <c r="G36" s="16">
        <v>260</v>
      </c>
      <c r="H36" s="16">
        <f t="shared" si="10"/>
        <v>319.8</v>
      </c>
      <c r="I36" s="15"/>
      <c r="J36" s="15"/>
      <c r="K36" s="15"/>
      <c r="L36" s="15"/>
      <c r="M36" s="17"/>
      <c r="N36" s="17"/>
      <c r="O36" s="16">
        <v>250</v>
      </c>
      <c r="P36" s="16">
        <f t="shared" si="16"/>
        <v>307.5</v>
      </c>
      <c r="Q36" s="17"/>
      <c r="R36" s="17"/>
      <c r="S36" s="17"/>
      <c r="T36" s="17"/>
      <c r="U36" s="17"/>
      <c r="V36" s="17"/>
      <c r="W36" s="17"/>
      <c r="X36" s="17"/>
      <c r="Y36" s="16">
        <v>250</v>
      </c>
      <c r="Z36" s="16">
        <f t="shared" ref="Z36" si="21">Y36*1.23</f>
        <v>307.5</v>
      </c>
    </row>
    <row r="37" spans="1:26" s="13" customFormat="1" x14ac:dyDescent="0.3">
      <c r="A37" s="12" t="s">
        <v>79</v>
      </c>
      <c r="B37" s="12" t="s">
        <v>49</v>
      </c>
      <c r="C37" s="16">
        <v>280</v>
      </c>
      <c r="D37" s="16">
        <f t="shared" si="0"/>
        <v>344.4</v>
      </c>
      <c r="E37" s="16">
        <v>280</v>
      </c>
      <c r="F37" s="16">
        <f t="shared" si="9"/>
        <v>344.4</v>
      </c>
      <c r="G37" s="16">
        <v>280</v>
      </c>
      <c r="H37" s="16">
        <f t="shared" si="10"/>
        <v>344.4</v>
      </c>
      <c r="I37" s="15"/>
      <c r="J37" s="15"/>
      <c r="K37" s="15"/>
      <c r="L37" s="15"/>
      <c r="M37" s="17"/>
      <c r="N37" s="17"/>
      <c r="O37" s="16">
        <v>270</v>
      </c>
      <c r="P37" s="16">
        <f t="shared" si="16"/>
        <v>332.1</v>
      </c>
      <c r="Q37" s="17"/>
      <c r="R37" s="17"/>
      <c r="S37" s="17"/>
      <c r="T37" s="17"/>
      <c r="U37" s="17"/>
      <c r="V37" s="17"/>
      <c r="W37" s="17"/>
      <c r="X37" s="17"/>
      <c r="Y37" s="16">
        <v>270</v>
      </c>
      <c r="Z37" s="16">
        <f t="shared" ref="Z37" si="22">Y37*1.23</f>
        <v>332.1</v>
      </c>
    </row>
    <row r="38" spans="1:26" s="13" customFormat="1" x14ac:dyDescent="0.3">
      <c r="A38" s="12" t="s">
        <v>80</v>
      </c>
      <c r="B38" s="12" t="s">
        <v>50</v>
      </c>
      <c r="C38" s="16">
        <v>300</v>
      </c>
      <c r="D38" s="16">
        <f t="shared" si="0"/>
        <v>369</v>
      </c>
      <c r="E38" s="16">
        <v>300</v>
      </c>
      <c r="F38" s="16">
        <f t="shared" si="9"/>
        <v>369</v>
      </c>
      <c r="G38" s="16">
        <v>300</v>
      </c>
      <c r="H38" s="16">
        <f t="shared" si="10"/>
        <v>369</v>
      </c>
      <c r="I38" s="15"/>
      <c r="J38" s="15"/>
      <c r="K38" s="15"/>
      <c r="L38" s="15"/>
      <c r="M38" s="17"/>
      <c r="N38" s="17"/>
      <c r="O38" s="16">
        <v>290</v>
      </c>
      <c r="P38" s="16">
        <f t="shared" si="16"/>
        <v>356.7</v>
      </c>
      <c r="Q38" s="17"/>
      <c r="R38" s="17"/>
      <c r="S38" s="17"/>
      <c r="T38" s="17"/>
      <c r="U38" s="17"/>
      <c r="V38" s="17"/>
      <c r="W38" s="17"/>
      <c r="X38" s="17"/>
      <c r="Y38" s="16">
        <v>290</v>
      </c>
      <c r="Z38" s="16">
        <f t="shared" ref="Z38" si="23">Y38*1.23</f>
        <v>356.7</v>
      </c>
    </row>
    <row r="39" spans="1:26" s="13" customFormat="1" x14ac:dyDescent="0.3">
      <c r="A39" s="12" t="s">
        <v>81</v>
      </c>
      <c r="B39" s="12" t="s">
        <v>51</v>
      </c>
      <c r="C39" s="16">
        <v>137</v>
      </c>
      <c r="D39" s="16">
        <f t="shared" si="0"/>
        <v>168.51</v>
      </c>
      <c r="E39" s="16">
        <v>137</v>
      </c>
      <c r="F39" s="16">
        <f t="shared" si="9"/>
        <v>168.51</v>
      </c>
      <c r="G39" s="16">
        <v>137</v>
      </c>
      <c r="H39" s="16">
        <f t="shared" si="10"/>
        <v>168.51</v>
      </c>
      <c r="I39" s="16">
        <v>137</v>
      </c>
      <c r="J39" s="16">
        <f>I39*1.23</f>
        <v>168.51</v>
      </c>
      <c r="K39" s="16">
        <v>137</v>
      </c>
      <c r="L39" s="16">
        <f>K39*1.23</f>
        <v>168.51</v>
      </c>
      <c r="M39" s="16">
        <v>137</v>
      </c>
      <c r="N39" s="16">
        <f>M39*1.23</f>
        <v>168.51</v>
      </c>
      <c r="O39" s="16">
        <v>196</v>
      </c>
      <c r="P39" s="16">
        <f t="shared" si="16"/>
        <v>241.07999999999998</v>
      </c>
      <c r="Q39" s="16">
        <v>196</v>
      </c>
      <c r="R39" s="16">
        <f>Q39*1.23</f>
        <v>241.07999999999998</v>
      </c>
      <c r="S39" s="16">
        <v>184</v>
      </c>
      <c r="T39" s="16">
        <f>S39*1.23</f>
        <v>226.32</v>
      </c>
      <c r="U39" s="16">
        <v>184</v>
      </c>
      <c r="V39" s="16">
        <f>U39*1.23</f>
        <v>226.32</v>
      </c>
      <c r="W39" s="16">
        <v>196</v>
      </c>
      <c r="X39" s="16">
        <f>W39*1.23</f>
        <v>241.07999999999998</v>
      </c>
      <c r="Y39" s="16">
        <v>196</v>
      </c>
      <c r="Z39" s="16">
        <f>Y39*1.23</f>
        <v>241.07999999999998</v>
      </c>
    </row>
    <row r="40" spans="1:26" x14ac:dyDescent="0.3">
      <c r="V40" s="2"/>
    </row>
    <row r="41" spans="1:26" x14ac:dyDescent="0.3">
      <c r="A41" s="5"/>
      <c r="B41" s="5" t="s">
        <v>87</v>
      </c>
    </row>
    <row r="43" spans="1:26" s="10" customFormat="1" x14ac:dyDescent="0.3">
      <c r="B43" s="10" t="s">
        <v>86</v>
      </c>
    </row>
    <row r="45" spans="1:26" x14ac:dyDescent="0.3">
      <c r="V45" s="20" t="s">
        <v>93</v>
      </c>
      <c r="W45" s="21"/>
    </row>
    <row r="46" spans="1:26" x14ac:dyDescent="0.3">
      <c r="V46" s="21"/>
      <c r="W46" s="21"/>
    </row>
    <row r="47" spans="1:26" x14ac:dyDescent="0.3">
      <c r="V47" s="21"/>
      <c r="W47" s="21"/>
    </row>
  </sheetData>
  <mergeCells count="20">
    <mergeCell ref="Y9:Z9"/>
    <mergeCell ref="B6:B10"/>
    <mergeCell ref="C6:Z6"/>
    <mergeCell ref="O7:Z7"/>
    <mergeCell ref="C8:Z8"/>
    <mergeCell ref="M9:N9"/>
    <mergeCell ref="C7:N7"/>
    <mergeCell ref="S9:T9"/>
    <mergeCell ref="C9:D9"/>
    <mergeCell ref="G9:H9"/>
    <mergeCell ref="O9:P9"/>
    <mergeCell ref="Q9:R9"/>
    <mergeCell ref="E9:F9"/>
    <mergeCell ref="I9:J9"/>
    <mergeCell ref="K9:L9"/>
    <mergeCell ref="B4:V4"/>
    <mergeCell ref="A6:A10"/>
    <mergeCell ref="U9:V9"/>
    <mergeCell ref="V45:W47"/>
    <mergeCell ref="W9:X9"/>
  </mergeCells>
  <phoneticPr fontId="2" type="noConversion"/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Normal="100" workbookViewId="0">
      <selection activeCell="U25" sqref="U25"/>
    </sheetView>
  </sheetViews>
  <sheetFormatPr defaultRowHeight="14.4" x14ac:dyDescent="0.3"/>
  <cols>
    <col min="1" max="1" width="3.5546875" bestFit="1" customWidth="1"/>
    <col min="2" max="2" width="10.33203125" bestFit="1" customWidth="1"/>
    <col min="3" max="12" width="11.44140625" customWidth="1"/>
    <col min="13" max="22" width="9.33203125" bestFit="1" customWidth="1"/>
  </cols>
  <sheetData>
    <row r="1" spans="1:22" x14ac:dyDescent="0.3">
      <c r="A1" s="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9" t="s">
        <v>97</v>
      </c>
    </row>
    <row r="2" spans="1:22" x14ac:dyDescent="0.3">
      <c r="A2" s="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 t="s">
        <v>83</v>
      </c>
    </row>
    <row r="3" spans="1:22" x14ac:dyDescent="0.3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 t="s">
        <v>95</v>
      </c>
    </row>
    <row r="4" spans="1:22" x14ac:dyDescent="0.3">
      <c r="A4" s="6"/>
      <c r="B4" s="18" t="s">
        <v>98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8"/>
      <c r="T4" s="8"/>
      <c r="U4" s="8"/>
      <c r="V4" s="9"/>
    </row>
    <row r="5" spans="1:22" x14ac:dyDescent="0.3">
      <c r="V5" s="3"/>
    </row>
    <row r="6" spans="1:22" x14ac:dyDescent="0.3">
      <c r="A6" s="19" t="s">
        <v>53</v>
      </c>
      <c r="B6" s="19" t="s">
        <v>4</v>
      </c>
      <c r="C6" s="25" t="s">
        <v>82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3">
      <c r="A7" s="19"/>
      <c r="B7" s="19"/>
      <c r="C7" s="25" t="s">
        <v>5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3">
      <c r="A8" s="19"/>
      <c r="B8" s="19"/>
      <c r="C8" s="25" t="s">
        <v>6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3">
      <c r="A9" s="19"/>
      <c r="B9" s="19"/>
      <c r="C9" s="19" t="s">
        <v>15</v>
      </c>
      <c r="D9" s="19"/>
      <c r="E9" s="19" t="s">
        <v>16</v>
      </c>
      <c r="F9" s="19"/>
      <c r="G9" s="19" t="s">
        <v>17</v>
      </c>
      <c r="H9" s="19"/>
      <c r="I9" s="19" t="s">
        <v>18</v>
      </c>
      <c r="J9" s="19"/>
      <c r="K9" s="19" t="s">
        <v>19</v>
      </c>
      <c r="L9" s="19"/>
      <c r="M9" s="19" t="s">
        <v>20</v>
      </c>
      <c r="N9" s="19"/>
      <c r="O9" s="19" t="s">
        <v>21</v>
      </c>
      <c r="P9" s="19"/>
      <c r="Q9" s="19" t="s">
        <v>22</v>
      </c>
      <c r="R9" s="19"/>
      <c r="S9" s="19" t="s">
        <v>23</v>
      </c>
      <c r="T9" s="19"/>
      <c r="U9" s="25" t="s">
        <v>89</v>
      </c>
      <c r="V9" s="25"/>
    </row>
    <row r="10" spans="1:22" x14ac:dyDescent="0.3">
      <c r="A10" s="19"/>
      <c r="B10" s="19"/>
      <c r="C10" s="11" t="s">
        <v>9</v>
      </c>
      <c r="D10" s="11" t="s">
        <v>10</v>
      </c>
      <c r="E10" s="11" t="s">
        <v>9</v>
      </c>
      <c r="F10" s="11" t="s">
        <v>10</v>
      </c>
      <c r="G10" s="11" t="s">
        <v>9</v>
      </c>
      <c r="H10" s="11" t="s">
        <v>10</v>
      </c>
      <c r="I10" s="11" t="s">
        <v>9</v>
      </c>
      <c r="J10" s="11" t="s">
        <v>10</v>
      </c>
      <c r="K10" s="11" t="s">
        <v>9</v>
      </c>
      <c r="L10" s="11" t="s">
        <v>10</v>
      </c>
      <c r="M10" s="11" t="s">
        <v>9</v>
      </c>
      <c r="N10" s="11" t="s">
        <v>10</v>
      </c>
      <c r="O10" s="11" t="s">
        <v>9</v>
      </c>
      <c r="P10" s="11" t="s">
        <v>10</v>
      </c>
      <c r="Q10" s="11" t="s">
        <v>9</v>
      </c>
      <c r="R10" s="11" t="s">
        <v>10</v>
      </c>
      <c r="S10" s="11" t="s">
        <v>9</v>
      </c>
      <c r="T10" s="11" t="s">
        <v>10</v>
      </c>
      <c r="U10" s="11" t="s">
        <v>9</v>
      </c>
      <c r="V10" s="11" t="s">
        <v>10</v>
      </c>
    </row>
    <row r="11" spans="1:22" x14ac:dyDescent="0.3">
      <c r="A11" s="1" t="s">
        <v>54</v>
      </c>
      <c r="B11" s="1" t="s">
        <v>24</v>
      </c>
      <c r="C11" s="14">
        <f>C16*2.416</f>
        <v>1449.6</v>
      </c>
      <c r="D11" s="14">
        <f>ROUND(C11,0)*1.23</f>
        <v>1783.5</v>
      </c>
      <c r="E11" s="14">
        <f>E16*2.758</f>
        <v>1516.9</v>
      </c>
      <c r="F11" s="14">
        <f>ROUND(E11,0)*1.23</f>
        <v>1865.91</v>
      </c>
      <c r="G11" s="14">
        <f>G16*2.75</f>
        <v>1512.5</v>
      </c>
      <c r="H11" s="14">
        <f>ROUND(G11,0)*1.23</f>
        <v>1860.99</v>
      </c>
      <c r="I11" s="14">
        <f>I16*1.601</f>
        <v>880.55</v>
      </c>
      <c r="J11" s="14">
        <f>I11*1.23</f>
        <v>1083.0764999999999</v>
      </c>
      <c r="K11" s="14">
        <f>K16*1.55</f>
        <v>852.5</v>
      </c>
      <c r="L11" s="14">
        <f>K11*1.23</f>
        <v>1048.575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x14ac:dyDescent="0.3">
      <c r="A12" s="1" t="s">
        <v>55</v>
      </c>
      <c r="B12" s="1" t="s">
        <v>25</v>
      </c>
      <c r="C12" s="14">
        <f>C16*3.06</f>
        <v>1836</v>
      </c>
      <c r="D12" s="14">
        <f>ROUND(C12,0)*1.23</f>
        <v>2258.2799999999997</v>
      </c>
      <c r="E12" s="14">
        <f>E16*3.492</f>
        <v>1920.6</v>
      </c>
      <c r="F12" s="14">
        <f t="shared" ref="F12:F24" si="0">ROUND(E12,0)*1.23</f>
        <v>2362.83</v>
      </c>
      <c r="G12" s="14">
        <f>G16*3.35</f>
        <v>1842.5</v>
      </c>
      <c r="H12" s="14">
        <f t="shared" ref="H12:H24" si="1">ROUND(G12,0)*1.23</f>
        <v>2266.89</v>
      </c>
      <c r="I12" s="14">
        <f>I16*1.674</f>
        <v>920.69999999999993</v>
      </c>
      <c r="J12" s="14">
        <f t="shared" ref="J12" si="2">I12*1.23</f>
        <v>1132.461</v>
      </c>
      <c r="K12" s="14">
        <f>K16*1.751</f>
        <v>963.05</v>
      </c>
      <c r="L12" s="14">
        <f t="shared" ref="L12" si="3">K12*1.23</f>
        <v>1184.5515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x14ac:dyDescent="0.3">
      <c r="A13" s="1" t="s">
        <v>58</v>
      </c>
      <c r="B13" s="1" t="s">
        <v>26</v>
      </c>
      <c r="C13" s="15"/>
      <c r="D13" s="15"/>
      <c r="E13" s="14">
        <f>E16*1.381</f>
        <v>759.55</v>
      </c>
      <c r="F13" s="14">
        <f t="shared" si="0"/>
        <v>934.8</v>
      </c>
      <c r="G13" s="14">
        <f>G16*1.33</f>
        <v>731.5</v>
      </c>
      <c r="H13" s="14">
        <f t="shared" si="1"/>
        <v>900.36</v>
      </c>
      <c r="I13" s="14">
        <f>I16*1.162</f>
        <v>639.09999999999991</v>
      </c>
      <c r="J13" s="14">
        <f t="shared" ref="J13" si="4">I13*1.23</f>
        <v>786.09299999999985</v>
      </c>
      <c r="K13" s="14">
        <f>K16*1.124</f>
        <v>618.20000000000005</v>
      </c>
      <c r="L13" s="14">
        <f t="shared" ref="L13" si="5">K13*1.23</f>
        <v>760.38600000000008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x14ac:dyDescent="0.3">
      <c r="A14" s="1" t="s">
        <v>60</v>
      </c>
      <c r="B14" s="1" t="s">
        <v>27</v>
      </c>
      <c r="C14" s="14">
        <f>C16*1.6</f>
        <v>960</v>
      </c>
      <c r="D14" s="14">
        <f>ROUND(C14,0)*1.23</f>
        <v>1180.8</v>
      </c>
      <c r="E14" s="14">
        <f>E16*1.947</f>
        <v>1070.8500000000001</v>
      </c>
      <c r="F14" s="14">
        <f t="shared" si="0"/>
        <v>1317.33</v>
      </c>
      <c r="G14" s="14">
        <f>G16*2.172</f>
        <v>1194.6000000000001</v>
      </c>
      <c r="H14" s="14">
        <f t="shared" si="1"/>
        <v>1469.85</v>
      </c>
      <c r="I14" s="14">
        <f>I16*1.304</f>
        <v>717.2</v>
      </c>
      <c r="J14" s="14">
        <f t="shared" ref="J14" si="6">I14*1.23</f>
        <v>882.15600000000006</v>
      </c>
      <c r="K14" s="14">
        <f>K16*1.272</f>
        <v>699.6</v>
      </c>
      <c r="L14" s="14">
        <f t="shared" ref="L14" si="7">K14*1.23</f>
        <v>860.50800000000004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3">
      <c r="A15" s="1" t="s">
        <v>57</v>
      </c>
      <c r="B15" s="1" t="s">
        <v>28</v>
      </c>
      <c r="C15" s="14">
        <f>C16*2.1</f>
        <v>1260</v>
      </c>
      <c r="D15" s="14">
        <f t="shared" ref="D15:D24" si="8">ROUND(C15,0)*1.23</f>
        <v>1549.8</v>
      </c>
      <c r="E15" s="14">
        <f>E16*2.44</f>
        <v>1342</v>
      </c>
      <c r="F15" s="14">
        <f t="shared" si="0"/>
        <v>1650.66</v>
      </c>
      <c r="G15" s="14">
        <f>G16*2.603</f>
        <v>1431.65</v>
      </c>
      <c r="H15" s="14">
        <f t="shared" si="1"/>
        <v>1761.36</v>
      </c>
      <c r="I15" s="14">
        <f>I16*1.459</f>
        <v>802.45</v>
      </c>
      <c r="J15" s="14">
        <f t="shared" ref="J15" si="9">I15*1.23</f>
        <v>987.01350000000002</v>
      </c>
      <c r="K15" s="14">
        <f>K16*1.428</f>
        <v>785.4</v>
      </c>
      <c r="L15" s="14">
        <f t="shared" ref="L15" si="10">K15*1.23</f>
        <v>966.04199999999992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s="13" customFormat="1" x14ac:dyDescent="0.3">
      <c r="A16" s="1" t="s">
        <v>56</v>
      </c>
      <c r="B16" s="12" t="s">
        <v>29</v>
      </c>
      <c r="C16" s="16">
        <v>600</v>
      </c>
      <c r="D16" s="16">
        <f t="shared" si="8"/>
        <v>738</v>
      </c>
      <c r="E16" s="16">
        <v>550</v>
      </c>
      <c r="F16" s="16">
        <f t="shared" si="0"/>
        <v>676.5</v>
      </c>
      <c r="G16" s="16">
        <v>550</v>
      </c>
      <c r="H16" s="16">
        <f t="shared" si="1"/>
        <v>676.5</v>
      </c>
      <c r="I16" s="16">
        <v>550</v>
      </c>
      <c r="J16" s="16">
        <f t="shared" ref="J16" si="11">I16*1.23</f>
        <v>676.5</v>
      </c>
      <c r="K16" s="16">
        <v>550</v>
      </c>
      <c r="L16" s="16">
        <f t="shared" ref="L16" si="12">K16*1.23</f>
        <v>676.5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3">
      <c r="A17" s="1" t="s">
        <v>61</v>
      </c>
      <c r="B17" s="1" t="s">
        <v>30</v>
      </c>
      <c r="C17" s="14">
        <f>C16*1.25</f>
        <v>750</v>
      </c>
      <c r="D17" s="14">
        <f t="shared" si="8"/>
        <v>922.5</v>
      </c>
      <c r="E17" s="14">
        <f>E16*1.373</f>
        <v>755.15</v>
      </c>
      <c r="F17" s="14">
        <f t="shared" si="0"/>
        <v>928.65</v>
      </c>
      <c r="G17" s="14">
        <f>G16*1.312</f>
        <v>721.6</v>
      </c>
      <c r="H17" s="14">
        <f t="shared" si="1"/>
        <v>888.06</v>
      </c>
      <c r="I17" s="14">
        <f>I16*1.126</f>
        <v>619.29999999999995</v>
      </c>
      <c r="J17" s="14">
        <f t="shared" ref="J17" si="13">I17*1.23</f>
        <v>761.73899999999992</v>
      </c>
      <c r="K17" s="14">
        <f>K16*1.118</f>
        <v>614.90000000000009</v>
      </c>
      <c r="L17" s="14">
        <f t="shared" ref="L17" si="14">K17*1.23</f>
        <v>756.32700000000011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3">
      <c r="A18" s="1" t="s">
        <v>59</v>
      </c>
      <c r="B18" s="1" t="s">
        <v>31</v>
      </c>
      <c r="C18" s="14">
        <f>C16*1.6</f>
        <v>960</v>
      </c>
      <c r="D18" s="14">
        <f t="shared" si="8"/>
        <v>1180.8</v>
      </c>
      <c r="E18" s="14">
        <f>E16*1.839</f>
        <v>1011.4499999999999</v>
      </c>
      <c r="F18" s="14">
        <f t="shared" si="0"/>
        <v>1243.53</v>
      </c>
      <c r="G18" s="14">
        <f>G16*1.584</f>
        <v>871.2</v>
      </c>
      <c r="H18" s="14">
        <f t="shared" si="1"/>
        <v>1071.33</v>
      </c>
      <c r="I18" s="14">
        <f>I16*1.243</f>
        <v>683.65000000000009</v>
      </c>
      <c r="J18" s="14">
        <f t="shared" ref="J18" si="15">I18*1.23</f>
        <v>840.88950000000011</v>
      </c>
      <c r="K18" s="14">
        <f>K16*1.237</f>
        <v>680.35</v>
      </c>
      <c r="L18" s="14">
        <f t="shared" ref="L18" si="16">K18*1.23</f>
        <v>836.83050000000003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3">
      <c r="A19" s="1" t="s">
        <v>62</v>
      </c>
      <c r="B19" s="1" t="s">
        <v>32</v>
      </c>
      <c r="C19" s="14">
        <f>C16*0.9</f>
        <v>540</v>
      </c>
      <c r="D19" s="14">
        <f t="shared" si="8"/>
        <v>664.2</v>
      </c>
      <c r="E19" s="14">
        <f>E16*0.728</f>
        <v>400.4</v>
      </c>
      <c r="F19" s="14">
        <f t="shared" si="0"/>
        <v>492</v>
      </c>
      <c r="G19" s="14">
        <f>G16*0.804</f>
        <v>442.20000000000005</v>
      </c>
      <c r="H19" s="14">
        <f t="shared" si="1"/>
        <v>543.66</v>
      </c>
      <c r="I19" s="14">
        <f>I16*0.875</f>
        <v>481.25</v>
      </c>
      <c r="J19" s="14">
        <f t="shared" ref="J19" si="17">I19*1.23</f>
        <v>591.9375</v>
      </c>
      <c r="K19" s="14">
        <f>K16*0.847</f>
        <v>465.84999999999997</v>
      </c>
      <c r="L19" s="14">
        <f t="shared" ref="L19" si="18">K19*1.23</f>
        <v>572.99549999999999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x14ac:dyDescent="0.3">
      <c r="A20" s="1" t="s">
        <v>63</v>
      </c>
      <c r="B20" s="1" t="s">
        <v>33</v>
      </c>
      <c r="C20" s="14">
        <f>C16*1</f>
        <v>600</v>
      </c>
      <c r="D20" s="14">
        <f t="shared" si="8"/>
        <v>738</v>
      </c>
      <c r="E20" s="14">
        <f>E16*0.996</f>
        <v>547.79999999999995</v>
      </c>
      <c r="F20" s="14">
        <f t="shared" si="0"/>
        <v>674.04</v>
      </c>
      <c r="G20" s="14">
        <f>G16*0.984</f>
        <v>541.20000000000005</v>
      </c>
      <c r="H20" s="14">
        <f t="shared" si="1"/>
        <v>665.43</v>
      </c>
      <c r="I20" s="14">
        <f>I16*0.966</f>
        <v>531.29999999999995</v>
      </c>
      <c r="J20" s="14">
        <f t="shared" ref="J20" si="19">I20*1.23</f>
        <v>653.49899999999991</v>
      </c>
      <c r="K20" s="14">
        <f>K16*0.956</f>
        <v>525.79999999999995</v>
      </c>
      <c r="L20" s="14">
        <f t="shared" ref="L20" si="20">K20*1.23</f>
        <v>646.73399999999992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3">
      <c r="A21" s="1" t="s">
        <v>64</v>
      </c>
      <c r="B21" s="1" t="s">
        <v>34</v>
      </c>
      <c r="C21" s="14">
        <f>C16*1.1</f>
        <v>660</v>
      </c>
      <c r="D21" s="14">
        <f t="shared" si="8"/>
        <v>811.8</v>
      </c>
      <c r="E21" s="14">
        <f>E16*1.238</f>
        <v>680.9</v>
      </c>
      <c r="F21" s="14">
        <f t="shared" si="0"/>
        <v>837.63</v>
      </c>
      <c r="G21" s="14">
        <f>G16*1.153</f>
        <v>634.15</v>
      </c>
      <c r="H21" s="14">
        <f t="shared" si="1"/>
        <v>779.81999999999994</v>
      </c>
      <c r="I21" s="14">
        <f>I16*1.043</f>
        <v>573.65</v>
      </c>
      <c r="J21" s="14">
        <f t="shared" ref="J21" si="21">I21*1.23</f>
        <v>705.58949999999993</v>
      </c>
      <c r="K21" s="14">
        <f>K16*1.069</f>
        <v>587.94999999999993</v>
      </c>
      <c r="L21" s="14">
        <f t="shared" ref="L21" si="22">K21*1.23</f>
        <v>723.17849999999987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s="13" customFormat="1" x14ac:dyDescent="0.3">
      <c r="A22" s="1" t="s">
        <v>65</v>
      </c>
      <c r="B22" s="12" t="s">
        <v>46</v>
      </c>
      <c r="C22" s="16">
        <v>480</v>
      </c>
      <c r="D22" s="16">
        <f t="shared" si="8"/>
        <v>590.4</v>
      </c>
      <c r="E22" s="16">
        <v>430</v>
      </c>
      <c r="F22" s="16">
        <f t="shared" si="0"/>
        <v>528.9</v>
      </c>
      <c r="G22" s="16">
        <v>430</v>
      </c>
      <c r="H22" s="16">
        <f t="shared" si="1"/>
        <v>528.9</v>
      </c>
      <c r="I22" s="16">
        <v>430</v>
      </c>
      <c r="J22" s="16">
        <f t="shared" ref="J22" si="23">I22*1.23</f>
        <v>528.9</v>
      </c>
      <c r="K22" s="16">
        <v>430</v>
      </c>
      <c r="L22" s="16">
        <f t="shared" ref="L22" si="24">K22*1.23</f>
        <v>528.9</v>
      </c>
      <c r="M22" s="16">
        <v>430</v>
      </c>
      <c r="N22" s="16">
        <f>M22*1.23</f>
        <v>528.9</v>
      </c>
      <c r="O22" s="16">
        <v>430</v>
      </c>
      <c r="P22" s="16">
        <f>O22*1.23</f>
        <v>528.9</v>
      </c>
      <c r="Q22" s="16">
        <v>480</v>
      </c>
      <c r="R22" s="16">
        <f>Q22*1.23</f>
        <v>590.4</v>
      </c>
      <c r="S22" s="16">
        <v>430</v>
      </c>
      <c r="T22" s="16">
        <f>S22*1.23</f>
        <v>528.9</v>
      </c>
      <c r="U22" s="16">
        <v>430</v>
      </c>
      <c r="V22" s="16">
        <f>U22*1.23</f>
        <v>528.9</v>
      </c>
    </row>
    <row r="23" spans="1:22" s="13" customFormat="1" x14ac:dyDescent="0.3">
      <c r="A23" s="12" t="s">
        <v>66</v>
      </c>
      <c r="B23" s="12" t="s">
        <v>47</v>
      </c>
      <c r="C23" s="16">
        <v>510</v>
      </c>
      <c r="D23" s="16">
        <f t="shared" si="8"/>
        <v>627.29999999999995</v>
      </c>
      <c r="E23" s="16">
        <v>550</v>
      </c>
      <c r="F23" s="16">
        <f t="shared" si="0"/>
        <v>676.5</v>
      </c>
      <c r="G23" s="16">
        <v>350</v>
      </c>
      <c r="H23" s="16">
        <f t="shared" si="1"/>
        <v>430.5</v>
      </c>
      <c r="I23" s="16">
        <v>350</v>
      </c>
      <c r="J23" s="16">
        <f t="shared" ref="J23:J24" si="25">I23*1.23</f>
        <v>430.5</v>
      </c>
      <c r="K23" s="16">
        <v>350</v>
      </c>
      <c r="L23" s="16">
        <f t="shared" ref="L23:L24" si="26">K23*1.23</f>
        <v>430.5</v>
      </c>
      <c r="M23" s="16">
        <v>350</v>
      </c>
      <c r="N23" s="16">
        <f>M23*1.23</f>
        <v>430.5</v>
      </c>
      <c r="O23" s="16">
        <v>350</v>
      </c>
      <c r="P23" s="16">
        <f>O23*1.23</f>
        <v>430.5</v>
      </c>
      <c r="Q23" s="16">
        <v>510</v>
      </c>
      <c r="R23" s="16">
        <f>Q23*1.23</f>
        <v>627.29999999999995</v>
      </c>
      <c r="S23" s="16">
        <v>350</v>
      </c>
      <c r="T23" s="16">
        <f>S23*1.23</f>
        <v>430.5</v>
      </c>
      <c r="U23" s="16">
        <v>350</v>
      </c>
      <c r="V23" s="16">
        <f>U23*1.23</f>
        <v>430.5</v>
      </c>
    </row>
    <row r="24" spans="1:22" s="13" customFormat="1" x14ac:dyDescent="0.3">
      <c r="A24" s="12" t="s">
        <v>67</v>
      </c>
      <c r="B24" s="12" t="s">
        <v>51</v>
      </c>
      <c r="C24" s="16">
        <v>196</v>
      </c>
      <c r="D24" s="16">
        <f>C24*1.23</f>
        <v>241.07999999999998</v>
      </c>
      <c r="E24" s="16">
        <v>196</v>
      </c>
      <c r="F24" s="16">
        <f>E24*1.23</f>
        <v>241.07999999999998</v>
      </c>
      <c r="G24" s="16">
        <v>196</v>
      </c>
      <c r="H24" s="16">
        <f t="shared" si="1"/>
        <v>241.07999999999998</v>
      </c>
      <c r="I24" s="16">
        <v>130</v>
      </c>
      <c r="J24" s="16">
        <f>I24*1.23</f>
        <v>159.9</v>
      </c>
      <c r="K24" s="16">
        <v>130</v>
      </c>
      <c r="L24" s="16">
        <f t="shared" si="26"/>
        <v>159.9</v>
      </c>
      <c r="M24" s="16">
        <v>130</v>
      </c>
      <c r="N24" s="16">
        <f>M24*1.23</f>
        <v>159.9</v>
      </c>
      <c r="O24" s="16">
        <v>130</v>
      </c>
      <c r="P24" s="16">
        <f>O24*1.23</f>
        <v>159.9</v>
      </c>
      <c r="Q24" s="16">
        <v>196</v>
      </c>
      <c r="R24" s="16">
        <f>Q24*1.23</f>
        <v>241.07999999999998</v>
      </c>
      <c r="S24" s="16">
        <v>196</v>
      </c>
      <c r="T24" s="16">
        <f>S24*1.23</f>
        <v>241.07999999999998</v>
      </c>
      <c r="U24" s="16">
        <v>196</v>
      </c>
      <c r="V24" s="16">
        <f>U24*1.23</f>
        <v>241.07999999999998</v>
      </c>
    </row>
    <row r="26" spans="1:22" x14ac:dyDescent="0.3">
      <c r="A26" s="5"/>
      <c r="B26" s="5" t="s">
        <v>87</v>
      </c>
    </row>
    <row r="28" spans="1:22" s="10" customFormat="1" x14ac:dyDescent="0.3">
      <c r="B28" s="10" t="s">
        <v>86</v>
      </c>
    </row>
    <row r="33" spans="19:20" x14ac:dyDescent="0.3">
      <c r="S33" s="20" t="s">
        <v>93</v>
      </c>
      <c r="T33" s="21"/>
    </row>
    <row r="34" spans="19:20" x14ac:dyDescent="0.3">
      <c r="S34" s="21"/>
      <c r="T34" s="21"/>
    </row>
    <row r="35" spans="19:20" x14ac:dyDescent="0.3">
      <c r="S35" s="21"/>
      <c r="T35" s="21"/>
    </row>
  </sheetData>
  <mergeCells count="17">
    <mergeCell ref="U9:V9"/>
    <mergeCell ref="S33:T35"/>
    <mergeCell ref="B4:R4"/>
    <mergeCell ref="A6:A10"/>
    <mergeCell ref="B6:B10"/>
    <mergeCell ref="C9:D9"/>
    <mergeCell ref="E9:F9"/>
    <mergeCell ref="G9:H9"/>
    <mergeCell ref="K9:L9"/>
    <mergeCell ref="M9:N9"/>
    <mergeCell ref="O9:P9"/>
    <mergeCell ref="Q9:R9"/>
    <mergeCell ref="I9:J9"/>
    <mergeCell ref="C6:V6"/>
    <mergeCell ref="C7:V7"/>
    <mergeCell ref="C8:V8"/>
    <mergeCell ref="S9:T9"/>
  </mergeCells>
  <phoneticPr fontId="2" type="noConversion"/>
  <pageMargins left="0.25" right="0.25" top="0.75" bottom="0.75" header="0.3" footer="0.3"/>
  <pageSetup paperSize="9" scale="7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5"/>
  <sheetViews>
    <sheetView zoomScale="85" zoomScaleNormal="85" workbookViewId="0">
      <selection activeCell="N28" sqref="N28"/>
    </sheetView>
  </sheetViews>
  <sheetFormatPr defaultRowHeight="14.4" x14ac:dyDescent="0.3"/>
  <cols>
    <col min="1" max="1" width="3.5546875" bestFit="1" customWidth="1"/>
    <col min="2" max="2" width="3.5546875" customWidth="1"/>
    <col min="3" max="3" width="10.33203125" bestFit="1" customWidth="1"/>
  </cols>
  <sheetData>
    <row r="1" spans="1:27" x14ac:dyDescent="0.3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9" t="s">
        <v>96</v>
      </c>
    </row>
    <row r="2" spans="1:27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 t="s">
        <v>83</v>
      </c>
    </row>
    <row r="3" spans="1:27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 t="s">
        <v>95</v>
      </c>
    </row>
    <row r="4" spans="1:27" x14ac:dyDescent="0.3">
      <c r="C4" s="18" t="s">
        <v>99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8"/>
      <c r="Y4" s="8"/>
      <c r="Z4" s="8"/>
      <c r="AA4" s="9"/>
    </row>
    <row r="6" spans="1:27" x14ac:dyDescent="0.3">
      <c r="A6" s="19" t="s">
        <v>53</v>
      </c>
      <c r="B6" s="19" t="s">
        <v>53</v>
      </c>
      <c r="C6" s="19" t="s">
        <v>4</v>
      </c>
      <c r="D6" s="19" t="s">
        <v>82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x14ac:dyDescent="0.3">
      <c r="A7" s="19"/>
      <c r="B7" s="19"/>
      <c r="C7" s="19"/>
      <c r="D7" s="22" t="s">
        <v>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3"/>
      <c r="P7" s="19" t="s">
        <v>5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x14ac:dyDescent="0.3">
      <c r="A8" s="19"/>
      <c r="B8" s="19"/>
      <c r="C8" s="19"/>
      <c r="D8" s="19" t="s">
        <v>6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x14ac:dyDescent="0.3">
      <c r="A9" s="19"/>
      <c r="B9" s="19"/>
      <c r="C9" s="19"/>
      <c r="D9" s="19" t="s">
        <v>1</v>
      </c>
      <c r="E9" s="19"/>
      <c r="F9" s="19" t="s">
        <v>2</v>
      </c>
      <c r="G9" s="19"/>
      <c r="H9" s="19" t="s">
        <v>3</v>
      </c>
      <c r="I9" s="19"/>
      <c r="J9" s="19" t="s">
        <v>91</v>
      </c>
      <c r="K9" s="19"/>
      <c r="L9" s="19" t="s">
        <v>92</v>
      </c>
      <c r="M9" s="19"/>
      <c r="N9" s="22" t="s">
        <v>88</v>
      </c>
      <c r="O9" s="23"/>
      <c r="P9" s="19" t="s">
        <v>7</v>
      </c>
      <c r="Q9" s="19"/>
      <c r="R9" s="19" t="s">
        <v>8</v>
      </c>
      <c r="S9" s="19"/>
      <c r="T9" s="19" t="s">
        <v>11</v>
      </c>
      <c r="U9" s="19"/>
      <c r="V9" s="19" t="s">
        <v>12</v>
      </c>
      <c r="W9" s="19"/>
      <c r="X9" s="19" t="s">
        <v>13</v>
      </c>
      <c r="Y9" s="19"/>
      <c r="Z9" s="19" t="s">
        <v>14</v>
      </c>
      <c r="AA9" s="19"/>
    </row>
    <row r="10" spans="1:27" x14ac:dyDescent="0.3">
      <c r="A10" s="19"/>
      <c r="B10" s="19"/>
      <c r="C10" s="19"/>
      <c r="D10" s="11" t="s">
        <v>9</v>
      </c>
      <c r="E10" s="11" t="s">
        <v>10</v>
      </c>
      <c r="F10" s="11" t="s">
        <v>9</v>
      </c>
      <c r="G10" s="11" t="s">
        <v>10</v>
      </c>
      <c r="H10" s="11" t="s">
        <v>9</v>
      </c>
      <c r="I10" s="11" t="s">
        <v>10</v>
      </c>
      <c r="J10" s="11" t="s">
        <v>9</v>
      </c>
      <c r="K10" s="11" t="s">
        <v>10</v>
      </c>
      <c r="L10" s="11" t="s">
        <v>9</v>
      </c>
      <c r="M10" s="11" t="s">
        <v>10</v>
      </c>
      <c r="N10" s="11" t="s">
        <v>9</v>
      </c>
      <c r="O10" s="11" t="s">
        <v>10</v>
      </c>
      <c r="P10" s="11" t="s">
        <v>9</v>
      </c>
      <c r="Q10" s="11" t="s">
        <v>10</v>
      </c>
      <c r="R10" s="11" t="s">
        <v>9</v>
      </c>
      <c r="S10" s="11" t="s">
        <v>10</v>
      </c>
      <c r="T10" s="11" t="s">
        <v>9</v>
      </c>
      <c r="U10" s="11" t="s">
        <v>10</v>
      </c>
      <c r="V10" s="11" t="s">
        <v>9</v>
      </c>
      <c r="W10" s="11" t="s">
        <v>10</v>
      </c>
      <c r="X10" s="11" t="s">
        <v>9</v>
      </c>
      <c r="Y10" s="11" t="s">
        <v>10</v>
      </c>
      <c r="Z10" s="11" t="s">
        <v>9</v>
      </c>
      <c r="AA10" s="11" t="s">
        <v>10</v>
      </c>
    </row>
    <row r="11" spans="1:27" x14ac:dyDescent="0.3">
      <c r="A11" s="1" t="s">
        <v>54</v>
      </c>
      <c r="B11" s="1" t="s">
        <v>54</v>
      </c>
      <c r="C11" s="1" t="s">
        <v>48</v>
      </c>
      <c r="D11" s="14">
        <v>128</v>
      </c>
      <c r="E11" s="14">
        <f>D11*1.23</f>
        <v>157.44</v>
      </c>
      <c r="F11" s="14">
        <v>128</v>
      </c>
      <c r="G11" s="14">
        <f>F11*1.23</f>
        <v>157.44</v>
      </c>
      <c r="H11" s="14">
        <v>128</v>
      </c>
      <c r="I11" s="14">
        <f>H11*1.23</f>
        <v>157.44</v>
      </c>
      <c r="J11" s="15"/>
      <c r="K11" s="15"/>
      <c r="L11" s="15"/>
      <c r="M11" s="15"/>
      <c r="N11" s="15"/>
      <c r="O11" s="15"/>
      <c r="P11" s="14">
        <v>119</v>
      </c>
      <c r="Q11" s="14">
        <f>P11*1.23</f>
        <v>146.37</v>
      </c>
      <c r="R11" s="15" t="s">
        <v>85</v>
      </c>
      <c r="S11" s="15"/>
      <c r="T11" s="15"/>
      <c r="U11" s="15"/>
      <c r="V11" s="15"/>
      <c r="W11" s="15"/>
      <c r="X11" s="15"/>
      <c r="Y11" s="15"/>
      <c r="Z11" s="14">
        <v>119</v>
      </c>
      <c r="AA11" s="14">
        <f>Z11*1.23</f>
        <v>146.37</v>
      </c>
    </row>
    <row r="12" spans="1:27" x14ac:dyDescent="0.3">
      <c r="A12" s="1" t="s">
        <v>55</v>
      </c>
      <c r="B12" s="1" t="s">
        <v>55</v>
      </c>
      <c r="C12" s="1" t="s">
        <v>49</v>
      </c>
      <c r="D12" s="14">
        <v>145</v>
      </c>
      <c r="E12" s="14">
        <f t="shared" ref="E12:G15" si="0">D12*1.23</f>
        <v>178.35</v>
      </c>
      <c r="F12" s="14">
        <v>145</v>
      </c>
      <c r="G12" s="14">
        <f t="shared" si="0"/>
        <v>178.35</v>
      </c>
      <c r="H12" s="14">
        <v>145</v>
      </c>
      <c r="I12" s="14">
        <f t="shared" ref="I12" si="1">H12*1.23</f>
        <v>178.35</v>
      </c>
      <c r="J12" s="15"/>
      <c r="K12" s="15"/>
      <c r="L12" s="15"/>
      <c r="M12" s="15"/>
      <c r="N12" s="15"/>
      <c r="O12" s="15"/>
      <c r="P12" s="14">
        <v>130</v>
      </c>
      <c r="Q12" s="14">
        <f t="shared" ref="Q12" si="2">P12*1.23</f>
        <v>159.9</v>
      </c>
      <c r="R12" s="15"/>
      <c r="S12" s="15"/>
      <c r="T12" s="15"/>
      <c r="U12" s="15"/>
      <c r="V12" s="15"/>
      <c r="W12" s="15"/>
      <c r="X12" s="15"/>
      <c r="Y12" s="15"/>
      <c r="Z12" s="14">
        <v>130</v>
      </c>
      <c r="AA12" s="14">
        <f t="shared" ref="AA12" si="3">Z12*1.23</f>
        <v>159.9</v>
      </c>
    </row>
    <row r="13" spans="1:27" x14ac:dyDescent="0.3">
      <c r="A13" s="1" t="s">
        <v>58</v>
      </c>
      <c r="B13" s="1" t="s">
        <v>58</v>
      </c>
      <c r="C13" s="1" t="s">
        <v>50</v>
      </c>
      <c r="D13" s="14">
        <v>185</v>
      </c>
      <c r="E13" s="14">
        <f t="shared" si="0"/>
        <v>227.54999999999998</v>
      </c>
      <c r="F13" s="14">
        <v>185</v>
      </c>
      <c r="G13" s="14">
        <f t="shared" si="0"/>
        <v>227.54999999999998</v>
      </c>
      <c r="H13" s="14">
        <v>185</v>
      </c>
      <c r="I13" s="14">
        <f t="shared" ref="I13:I15" si="4">H13*1.23</f>
        <v>227.54999999999998</v>
      </c>
      <c r="J13" s="15"/>
      <c r="K13" s="15"/>
      <c r="L13" s="15"/>
      <c r="M13" s="15"/>
      <c r="N13" s="15"/>
      <c r="O13" s="15"/>
      <c r="P13" s="14">
        <v>162</v>
      </c>
      <c r="Q13" s="14">
        <f t="shared" ref="Q13:Q15" si="5">P13*1.23</f>
        <v>199.26</v>
      </c>
      <c r="R13" s="15"/>
      <c r="S13" s="15"/>
      <c r="T13" s="15"/>
      <c r="U13" s="15"/>
      <c r="V13" s="15"/>
      <c r="W13" s="15"/>
      <c r="X13" s="15"/>
      <c r="Y13" s="15"/>
      <c r="Z13" s="14">
        <v>162</v>
      </c>
      <c r="AA13" s="14">
        <f t="shared" ref="AA13:AA15" si="6">Z13*1.23</f>
        <v>199.26</v>
      </c>
    </row>
    <row r="14" spans="1:27" x14ac:dyDescent="0.3">
      <c r="A14" s="1" t="s">
        <v>60</v>
      </c>
      <c r="B14" s="1" t="s">
        <v>60</v>
      </c>
      <c r="C14" s="1" t="s">
        <v>51</v>
      </c>
      <c r="D14" s="14">
        <v>55</v>
      </c>
      <c r="E14" s="14">
        <f t="shared" si="0"/>
        <v>67.650000000000006</v>
      </c>
      <c r="F14" s="14">
        <v>55</v>
      </c>
      <c r="G14" s="14">
        <f t="shared" si="0"/>
        <v>67.650000000000006</v>
      </c>
      <c r="H14" s="14">
        <v>55</v>
      </c>
      <c r="I14" s="14">
        <f t="shared" si="4"/>
        <v>67.650000000000006</v>
      </c>
      <c r="J14" s="14">
        <v>55</v>
      </c>
      <c r="K14" s="14">
        <f>J14*1.23</f>
        <v>67.650000000000006</v>
      </c>
      <c r="L14" s="14">
        <v>55</v>
      </c>
      <c r="M14" s="14">
        <f>L14*1.23</f>
        <v>67.650000000000006</v>
      </c>
      <c r="N14" s="14">
        <v>55</v>
      </c>
      <c r="O14" s="14">
        <f>N14*1.23</f>
        <v>67.650000000000006</v>
      </c>
      <c r="P14" s="14">
        <v>90</v>
      </c>
      <c r="Q14" s="14">
        <f t="shared" si="5"/>
        <v>110.7</v>
      </c>
      <c r="R14" s="14">
        <v>90</v>
      </c>
      <c r="S14" s="14">
        <f>R14*1.23</f>
        <v>110.7</v>
      </c>
      <c r="T14" s="14">
        <v>90</v>
      </c>
      <c r="U14" s="14">
        <f>T14*1.23</f>
        <v>110.7</v>
      </c>
      <c r="V14" s="14">
        <v>90</v>
      </c>
      <c r="W14" s="14">
        <f>V14*1.23</f>
        <v>110.7</v>
      </c>
      <c r="X14" s="14">
        <v>90</v>
      </c>
      <c r="Y14" s="14">
        <f>X14*1.23</f>
        <v>110.7</v>
      </c>
      <c r="Z14" s="14">
        <v>90</v>
      </c>
      <c r="AA14" s="14">
        <f t="shared" si="6"/>
        <v>110.7</v>
      </c>
    </row>
    <row r="15" spans="1:27" x14ac:dyDescent="0.3">
      <c r="A15" s="1" t="s">
        <v>57</v>
      </c>
      <c r="B15" s="1" t="s">
        <v>57</v>
      </c>
      <c r="C15" s="4" t="s">
        <v>84</v>
      </c>
      <c r="D15" s="14">
        <v>20</v>
      </c>
      <c r="E15" s="14">
        <f t="shared" si="0"/>
        <v>24.6</v>
      </c>
      <c r="F15" s="14">
        <v>20</v>
      </c>
      <c r="G15" s="14">
        <f t="shared" si="0"/>
        <v>24.6</v>
      </c>
      <c r="H15" s="14">
        <v>20</v>
      </c>
      <c r="I15" s="14">
        <f t="shared" si="4"/>
        <v>24.6</v>
      </c>
      <c r="J15" s="14">
        <v>20</v>
      </c>
      <c r="K15" s="14">
        <f>J15*1.23</f>
        <v>24.6</v>
      </c>
      <c r="L15" s="14">
        <v>20</v>
      </c>
      <c r="M15" s="14">
        <f>L15*1.23</f>
        <v>24.6</v>
      </c>
      <c r="N15" s="14">
        <v>20</v>
      </c>
      <c r="O15" s="14">
        <f>N15*1.23</f>
        <v>24.6</v>
      </c>
      <c r="P15" s="14">
        <v>28</v>
      </c>
      <c r="Q15" s="14">
        <f t="shared" si="5"/>
        <v>34.44</v>
      </c>
      <c r="R15" s="14">
        <v>28</v>
      </c>
      <c r="S15" s="14">
        <f>R15*1.23</f>
        <v>34.44</v>
      </c>
      <c r="T15" s="14">
        <v>28</v>
      </c>
      <c r="U15" s="14">
        <f>T15*1.23</f>
        <v>34.44</v>
      </c>
      <c r="V15" s="14">
        <v>28</v>
      </c>
      <c r="W15" s="14">
        <f>V15*1.23</f>
        <v>34.44</v>
      </c>
      <c r="X15" s="14">
        <v>28</v>
      </c>
      <c r="Y15" s="14">
        <f>X15*1.23</f>
        <v>34.44</v>
      </c>
      <c r="Z15" s="14">
        <v>28</v>
      </c>
      <c r="AA15" s="14">
        <f t="shared" si="6"/>
        <v>34.44</v>
      </c>
    </row>
    <row r="16" spans="1:27" x14ac:dyDescent="0.3">
      <c r="A16" s="19" t="s">
        <v>53</v>
      </c>
      <c r="B16" s="19" t="s">
        <v>53</v>
      </c>
      <c r="C16" s="19" t="s">
        <v>4</v>
      </c>
      <c r="D16" s="26" t="s">
        <v>82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</row>
    <row r="17" spans="1:23" x14ac:dyDescent="0.3">
      <c r="A17" s="19"/>
      <c r="B17" s="19"/>
      <c r="C17" s="19"/>
      <c r="D17" s="26" t="s">
        <v>5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</row>
    <row r="18" spans="1:23" x14ac:dyDescent="0.3">
      <c r="A18" s="19"/>
      <c r="B18" s="19"/>
      <c r="C18" s="19"/>
      <c r="D18" s="26" t="s">
        <v>6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</row>
    <row r="19" spans="1:23" x14ac:dyDescent="0.3">
      <c r="A19" s="19"/>
      <c r="B19" s="19"/>
      <c r="C19" s="19"/>
      <c r="D19" s="19" t="s">
        <v>15</v>
      </c>
      <c r="E19" s="19"/>
      <c r="F19" s="19" t="s">
        <v>16</v>
      </c>
      <c r="G19" s="19"/>
      <c r="H19" s="22" t="s">
        <v>17</v>
      </c>
      <c r="I19" s="23"/>
      <c r="J19" s="7" t="s">
        <v>18</v>
      </c>
      <c r="K19" s="7"/>
      <c r="L19" s="7" t="s">
        <v>19</v>
      </c>
      <c r="M19" s="7"/>
      <c r="N19" s="7" t="s">
        <v>20</v>
      </c>
      <c r="O19" s="7"/>
      <c r="P19" s="7" t="s">
        <v>21</v>
      </c>
      <c r="Q19" s="7"/>
      <c r="R19" s="7" t="s">
        <v>22</v>
      </c>
      <c r="S19" s="7"/>
      <c r="T19" s="19" t="s">
        <v>23</v>
      </c>
      <c r="U19" s="19"/>
      <c r="V19" s="25" t="s">
        <v>89</v>
      </c>
      <c r="W19" s="25"/>
    </row>
    <row r="20" spans="1:23" x14ac:dyDescent="0.3">
      <c r="A20" s="19"/>
      <c r="B20" s="19"/>
      <c r="C20" s="19"/>
      <c r="D20" s="11" t="s">
        <v>9</v>
      </c>
      <c r="E20" s="11" t="s">
        <v>10</v>
      </c>
      <c r="F20" s="11" t="s">
        <v>9</v>
      </c>
      <c r="G20" s="11" t="s">
        <v>10</v>
      </c>
      <c r="H20" s="11" t="s">
        <v>9</v>
      </c>
      <c r="I20" s="11" t="s">
        <v>10</v>
      </c>
      <c r="J20" s="11" t="s">
        <v>9</v>
      </c>
      <c r="K20" s="11" t="s">
        <v>10</v>
      </c>
      <c r="L20" s="11" t="s">
        <v>9</v>
      </c>
      <c r="M20" s="11" t="s">
        <v>10</v>
      </c>
      <c r="N20" s="11" t="s">
        <v>9</v>
      </c>
      <c r="O20" s="11" t="s">
        <v>10</v>
      </c>
      <c r="P20" s="11" t="s">
        <v>9</v>
      </c>
      <c r="Q20" s="11" t="s">
        <v>10</v>
      </c>
      <c r="R20" s="11" t="s">
        <v>9</v>
      </c>
      <c r="S20" s="11" t="s">
        <v>10</v>
      </c>
      <c r="T20" s="11" t="s">
        <v>9</v>
      </c>
      <c r="U20" s="11" t="s">
        <v>10</v>
      </c>
      <c r="V20" s="11" t="s">
        <v>9</v>
      </c>
      <c r="W20" s="11" t="s">
        <v>10</v>
      </c>
    </row>
    <row r="21" spans="1:23" x14ac:dyDescent="0.3">
      <c r="A21" s="4" t="s">
        <v>56</v>
      </c>
      <c r="B21" s="4" t="s">
        <v>56</v>
      </c>
      <c r="C21" s="4" t="s">
        <v>51</v>
      </c>
      <c r="D21" s="14">
        <v>90</v>
      </c>
      <c r="E21" s="14">
        <f>D21*1.23</f>
        <v>110.7</v>
      </c>
      <c r="F21" s="14">
        <v>90</v>
      </c>
      <c r="G21" s="14">
        <f>F21*1.23</f>
        <v>110.7</v>
      </c>
      <c r="H21" s="14">
        <v>90</v>
      </c>
      <c r="I21" s="14">
        <f>H21*1.23</f>
        <v>110.7</v>
      </c>
      <c r="J21" s="14">
        <v>40</v>
      </c>
      <c r="K21" s="14">
        <f>J21*1.23</f>
        <v>49.2</v>
      </c>
      <c r="L21" s="14">
        <v>40</v>
      </c>
      <c r="M21" s="14">
        <f>L21*1.23</f>
        <v>49.2</v>
      </c>
      <c r="N21" s="14">
        <v>40</v>
      </c>
      <c r="O21" s="14">
        <f>N21*1.23</f>
        <v>49.2</v>
      </c>
      <c r="P21" s="14">
        <v>40</v>
      </c>
      <c r="Q21" s="14">
        <f>P21*1.23</f>
        <v>49.2</v>
      </c>
      <c r="R21" s="14">
        <v>90</v>
      </c>
      <c r="S21" s="14">
        <f>R21*1.23</f>
        <v>110.7</v>
      </c>
      <c r="T21" s="14">
        <v>90</v>
      </c>
      <c r="U21" s="14">
        <f>T21*1.23</f>
        <v>110.7</v>
      </c>
      <c r="V21" s="14">
        <v>90</v>
      </c>
      <c r="W21" s="14">
        <f>V21*1.23</f>
        <v>110.7</v>
      </c>
    </row>
    <row r="22" spans="1:23" x14ac:dyDescent="0.3">
      <c r="A22" s="4" t="s">
        <v>61</v>
      </c>
      <c r="B22" s="4" t="s">
        <v>61</v>
      </c>
      <c r="C22" s="4" t="s">
        <v>84</v>
      </c>
      <c r="D22" s="14">
        <v>28</v>
      </c>
      <c r="E22" s="14">
        <f>D22*1.23</f>
        <v>34.44</v>
      </c>
      <c r="F22" s="14">
        <v>28</v>
      </c>
      <c r="G22" s="14">
        <f>F22*1.23</f>
        <v>34.44</v>
      </c>
      <c r="H22" s="14">
        <v>28</v>
      </c>
      <c r="I22" s="14">
        <f>H22*1.23</f>
        <v>34.44</v>
      </c>
      <c r="J22" s="14">
        <v>20</v>
      </c>
      <c r="K22" s="14">
        <f>J22*1.23</f>
        <v>24.6</v>
      </c>
      <c r="L22" s="14">
        <v>20</v>
      </c>
      <c r="M22" s="14">
        <f>L22*1.23</f>
        <v>24.6</v>
      </c>
      <c r="N22" s="14">
        <v>20</v>
      </c>
      <c r="O22" s="14">
        <f>N22*1.23</f>
        <v>24.6</v>
      </c>
      <c r="P22" s="14">
        <v>20</v>
      </c>
      <c r="Q22" s="14">
        <f>P22*1.23</f>
        <v>24.6</v>
      </c>
      <c r="R22" s="14">
        <v>28</v>
      </c>
      <c r="S22" s="14">
        <f>R22*1.23</f>
        <v>34.44</v>
      </c>
      <c r="T22" s="14">
        <v>28</v>
      </c>
      <c r="U22" s="14">
        <f>T22*1.23</f>
        <v>34.44</v>
      </c>
      <c r="V22" s="14">
        <v>28</v>
      </c>
      <c r="W22" s="14">
        <f>V22*1.23</f>
        <v>34.44</v>
      </c>
    </row>
    <row r="24" spans="1:23" x14ac:dyDescent="0.3">
      <c r="A24" s="5"/>
      <c r="B24" s="5"/>
      <c r="C24" s="5" t="s">
        <v>87</v>
      </c>
    </row>
    <row r="26" spans="1:23" s="10" customFormat="1" x14ac:dyDescent="0.3">
      <c r="C26" s="10" t="s">
        <v>86</v>
      </c>
    </row>
    <row r="33" spans="24:25" x14ac:dyDescent="0.3">
      <c r="X33" s="20" t="s">
        <v>93</v>
      </c>
      <c r="Y33" s="21"/>
    </row>
    <row r="34" spans="24:25" x14ac:dyDescent="0.3">
      <c r="X34" s="21"/>
      <c r="Y34" s="21"/>
    </row>
    <row r="35" spans="24:25" x14ac:dyDescent="0.3">
      <c r="X35" s="21"/>
      <c r="Y35" s="21"/>
    </row>
  </sheetData>
  <mergeCells count="32">
    <mergeCell ref="R9:S9"/>
    <mergeCell ref="Z9:AA9"/>
    <mergeCell ref="A16:A20"/>
    <mergeCell ref="C16:C20"/>
    <mergeCell ref="D19:E19"/>
    <mergeCell ref="F19:G19"/>
    <mergeCell ref="H19:I19"/>
    <mergeCell ref="T19:U19"/>
    <mergeCell ref="V19:W19"/>
    <mergeCell ref="B16:B20"/>
    <mergeCell ref="J9:K9"/>
    <mergeCell ref="L9:M9"/>
    <mergeCell ref="D18:W18"/>
    <mergeCell ref="D17:W17"/>
    <mergeCell ref="A6:A10"/>
    <mergeCell ref="B6:B10"/>
    <mergeCell ref="X33:Y35"/>
    <mergeCell ref="C4:W4"/>
    <mergeCell ref="X9:Y9"/>
    <mergeCell ref="T9:U9"/>
    <mergeCell ref="V9:W9"/>
    <mergeCell ref="D16:W16"/>
    <mergeCell ref="C6:C10"/>
    <mergeCell ref="D6:AA6"/>
    <mergeCell ref="D7:O7"/>
    <mergeCell ref="P7:AA7"/>
    <mergeCell ref="D8:AA8"/>
    <mergeCell ref="D9:E9"/>
    <mergeCell ref="F9:G9"/>
    <mergeCell ref="H9:I9"/>
    <mergeCell ref="N9:O9"/>
    <mergeCell ref="P9:Q9"/>
  </mergeCells>
  <phoneticPr fontId="2" type="noConversion"/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1a</vt:lpstr>
      <vt:lpstr>Zał. 1b</vt:lpstr>
      <vt:lpstr>Zał.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Borkowska Patrycja</cp:lastModifiedBy>
  <cp:lastPrinted>2022-08-04T07:21:04Z</cp:lastPrinted>
  <dcterms:created xsi:type="dcterms:W3CDTF">2020-04-09T08:55:51Z</dcterms:created>
  <dcterms:modified xsi:type="dcterms:W3CDTF">2024-01-16T13:33:53Z</dcterms:modified>
</cp:coreProperties>
</file>